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COMISION_HACIENDA\2025\PROPOSICIONES\CUESTIONARIO Y RTA\PROPOSICION 105 (23-01-2024)\RESPUESTAS\RESPT. PTE. E.T.B\"/>
    </mc:Choice>
  </mc:AlternateContent>
  <bookViews>
    <workbookView xWindow="0" yWindow="0" windowWidth="28800" windowHeight="12000" tabRatio="846" firstSheet="4" activeTab="4"/>
  </bookViews>
  <sheets>
    <sheet name="ESF MENSUALIZADO " sheetId="3" state="hidden" r:id="rId1"/>
    <sheet name="ESF ANUAL" sheetId="1" state="hidden" r:id="rId2"/>
    <sheet name="PATRIMONIO" sheetId="8" state="hidden" r:id="rId3"/>
    <sheet name="PyG mensualizado" sheetId="11" state="hidden" r:id="rId4"/>
    <sheet name="Ingresos" sheetId="25" r:id="rId5"/>
    <sheet name="Costos y Gastos" sheetId="26" r:id="rId6"/>
    <sheet name="DETALLE DETERIORO" sheetId="10" state="hidden" r:id="rId7"/>
    <sheet name="PYG COLGAAP 2003-2014" sheetId="28" r:id="rId8"/>
    <sheet name="PYG NIIF 2015-SEP2024" sheetId="27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\a" localSheetId="7">[1]EFSV0695!#REF!</definedName>
    <definedName name="\a" localSheetId="8">[1]EFSV0695!#REF!</definedName>
    <definedName name="\a">[1]EFSV0695!#REF!</definedName>
    <definedName name="\f" localSheetId="7">[1]EFSV0695!#REF!</definedName>
    <definedName name="\f" localSheetId="8">[1]EFSV0695!#REF!</definedName>
    <definedName name="\f">[1]EFSV0695!#REF!</definedName>
    <definedName name="\w" localSheetId="7">#REF!</definedName>
    <definedName name="\w" localSheetId="8">#REF!</definedName>
    <definedName name="\w">#REF!</definedName>
    <definedName name="\z" localSheetId="7">#REF!</definedName>
    <definedName name="\z" localSheetId="8">#REF!</definedName>
    <definedName name="\z">#REF!</definedName>
    <definedName name="__123Graph_X">[2]SAFIB!$F$256:$M$256</definedName>
    <definedName name="_1990">#REF!</definedName>
    <definedName name="_AAE1065">[3]PCCODICIEMBRE!#REF!</definedName>
    <definedName name="_ETB1">'[4]ANEXO 45'!#REF!</definedName>
    <definedName name="_ETB3">'[4]ANEXO 45'!#REF!</definedName>
    <definedName name="_ETB5">'[4]ANEXO 45'!#REF!</definedName>
    <definedName name="_Fill" hidden="1">#REF!</definedName>
    <definedName name="_PAS1990">#REF!</definedName>
    <definedName name="_PYG1990">#REF!</definedName>
    <definedName name="_PYG1999">[5]RESULTADOS!$O$1:$R$63</definedName>
    <definedName name="_pyg2">[6]BALANCEETB!$B$2:$H$60</definedName>
    <definedName name="_SAP1">'[7]ANEXO 46'!#REF!</definedName>
    <definedName name="_SAP2">'[4]ANEXO 45'!#REF!</definedName>
    <definedName name="_SAP3">'[4]ANEXO 45'!#REF!</definedName>
    <definedName name="_SAP5">'[4]ANEXO 45'!#REF!</definedName>
    <definedName name="_SAP6">'[4]ANEXO 45'!#REF!</definedName>
    <definedName name="_SAP7">'[4]ANEXO 45'!#REF!</definedName>
    <definedName name="_SAP8">'[4]ANEXO 45'!#REF!</definedName>
    <definedName name="_SAP9">'[4]ANEXO 45'!#REF!</definedName>
    <definedName name="_trm1">'[8]01_Efectivo'!#REF!</definedName>
    <definedName name="a">[1]EFSV0695!#REF!</definedName>
    <definedName name="A_IMPRESIÓN_IM">#REF!</definedName>
    <definedName name="AJU">[9]Detalle!#REF!</definedName>
    <definedName name="ANTICIPO">#REF!</definedName>
    <definedName name="_xlnm.Print_Area">[6]BALANCEETB!$B$2:$H$60</definedName>
    <definedName name="AS2DocOpenMode" hidden="1">"AS2DocumentEdit"</definedName>
    <definedName name="assssssss">[1]EFSV0695!#REF!</definedName>
    <definedName name="BALANCE">#REF!</definedName>
    <definedName name="_xlnm.Database">#REF!</definedName>
    <definedName name="BuscarActivos">#N/A</definedName>
    <definedName name="cc">#REF!</definedName>
    <definedName name="cffffff">#REF!</definedName>
    <definedName name="con">#REF!</definedName>
    <definedName name="CONTRATO">#REF!</definedName>
    <definedName name="COPIAS">[1]EFSV0695!#REF!</definedName>
    <definedName name="COUNTER">[1]EFSV0695!#REF!</definedName>
    <definedName name="CPFinal">#REF!</definedName>
    <definedName name="CPInicio">#REF!</definedName>
    <definedName name="CTA">#REF!</definedName>
    <definedName name="cuenta">#REF!</definedName>
    <definedName name="d">'[10]01_Efectivo'!#REF!</definedName>
    <definedName name="datos">#REF!</definedName>
    <definedName name="dfeferferferfer">'[8]01_Efectivo'!#REF!</definedName>
    <definedName name="dlfsikodhfsjidknfdklmv">#REF!</definedName>
    <definedName name="DO">[1]EFSV0695!#REF!</definedName>
    <definedName name="DOS">#REF!</definedName>
    <definedName name="dsds">[1]EFSV0695!#REF!</definedName>
    <definedName name="eqwewqewq">'[4]ANEXO 45'!#REF!</definedName>
    <definedName name="es">#REF!</definedName>
    <definedName name="etb">#REF!</definedName>
    <definedName name="FCP">#REF!</definedName>
    <definedName name="fila">#REF!</definedName>
    <definedName name="FINAL">#REF!</definedName>
    <definedName name="_xlnm.Recorder">#REF!</definedName>
    <definedName name="Imprimir_área_IM">#REF!</definedName>
    <definedName name="JUNIO00">#REF!</definedName>
    <definedName name="MESES">[11]Costos!#REF!</definedName>
    <definedName name="Nit">#REF!</definedName>
    <definedName name="nnnnnnnnnnnnnn">#REF!</definedName>
    <definedName name="nuevo">[12]Costos!#REF!</definedName>
    <definedName name="por">#REF!</definedName>
    <definedName name="PUR">[13]Hoja1!#REF!</definedName>
    <definedName name="PYG">#REF!</definedName>
    <definedName name="SAP">#REF!</definedName>
    <definedName name="SAP0">'[4]ANEXO 45'!#REF!</definedName>
    <definedName name="SAPO">#REF!</definedName>
    <definedName name="t">'[8]01_Efectivo'!#REF!</definedName>
    <definedName name="TextRefCopyRangeCount" hidden="1">7</definedName>
    <definedName name="_xlnm.Print_Titles">[6]PYGETB!$A$1:$IV$6</definedName>
    <definedName name="TOR">#REF!</definedName>
    <definedName name="TOTAL">#REF!</definedName>
    <definedName name="tr">'[8]01_Efectivo'!#REF!</definedName>
    <definedName name="TRES">#REF!</definedName>
    <definedName name="TRM">'[7]ANEXO 1'!#REF!</definedName>
    <definedName name="TRMI">#REF!</definedName>
    <definedName name="TURNO">[13]Hoja1!#REF!</definedName>
    <definedName name="UNO">#REF!</definedName>
    <definedName name="YUI">[14]Costos!#REF!</definedName>
    <definedName name="YUI2">[14]Costos!#REF!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9" i="26" l="1"/>
  <c r="C59" i="26"/>
  <c r="B59" i="26"/>
  <c r="C16" i="28"/>
  <c r="B15" i="28"/>
  <c r="D9" i="28"/>
  <c r="D13" i="28" s="1"/>
  <c r="D19" i="28" s="1"/>
  <c r="D25" i="28" s="1"/>
  <c r="C9" i="28"/>
  <c r="C13" i="28" s="1"/>
  <c r="C19" i="28" s="1"/>
  <c r="C25" i="28" s="1"/>
  <c r="B9" i="28"/>
  <c r="B13" i="28" s="1"/>
  <c r="B19" i="28" s="1"/>
  <c r="B25" i="28" s="1"/>
  <c r="B26" i="27"/>
  <c r="B20" i="27"/>
  <c r="J12" i="27"/>
  <c r="J18" i="27" s="1"/>
  <c r="J24" i="27" s="1"/>
  <c r="J28" i="27" s="1"/>
  <c r="J32" i="27" s="1"/>
  <c r="I12" i="27"/>
  <c r="I18" i="27" s="1"/>
  <c r="I24" i="27" s="1"/>
  <c r="I28" i="27" s="1"/>
  <c r="I32" i="27" s="1"/>
  <c r="H12" i="27"/>
  <c r="H18" i="27" s="1"/>
  <c r="H24" i="27" s="1"/>
  <c r="H28" i="27" s="1"/>
  <c r="H32" i="27" s="1"/>
  <c r="G12" i="27"/>
  <c r="G18" i="27" s="1"/>
  <c r="G24" i="27" s="1"/>
  <c r="G28" i="27" s="1"/>
  <c r="G32" i="27" s="1"/>
  <c r="F12" i="27"/>
  <c r="F18" i="27" s="1"/>
  <c r="F24" i="27" s="1"/>
  <c r="F28" i="27" s="1"/>
  <c r="F32" i="27" s="1"/>
  <c r="H8" i="27"/>
  <c r="K4" i="27"/>
  <c r="K12" i="27" s="1"/>
  <c r="K18" i="27" s="1"/>
  <c r="K24" i="27" s="1"/>
  <c r="K28" i="27" s="1"/>
  <c r="K32" i="27" s="1"/>
  <c r="J4" i="27"/>
  <c r="I4" i="27"/>
  <c r="H4" i="27"/>
  <c r="G4" i="27"/>
  <c r="F4" i="27"/>
  <c r="E4" i="27"/>
  <c r="E12" i="27" s="1"/>
  <c r="E18" i="27" s="1"/>
  <c r="E24" i="27" s="1"/>
  <c r="E28" i="27" s="1"/>
  <c r="E32" i="27" s="1"/>
  <c r="D4" i="27"/>
  <c r="D12" i="27" s="1"/>
  <c r="D18" i="27" s="1"/>
  <c r="D24" i="27" s="1"/>
  <c r="D28" i="27" s="1"/>
  <c r="D32" i="27" s="1"/>
  <c r="C4" i="27"/>
  <c r="C12" i="27" s="1"/>
  <c r="C18" i="27" s="1"/>
  <c r="C24" i="27" s="1"/>
  <c r="C28" i="27" s="1"/>
  <c r="C32" i="27" s="1"/>
  <c r="B4" i="27"/>
  <c r="B12" i="27" s="1"/>
  <c r="B18" i="27" s="1"/>
  <c r="B24" i="27" s="1"/>
  <c r="B28" i="27" s="1"/>
  <c r="B32" i="27" s="1"/>
  <c r="C31" i="25" l="1"/>
  <c r="C45" i="25" s="1"/>
  <c r="D45" i="25"/>
  <c r="E45" i="25"/>
  <c r="F45" i="25"/>
  <c r="G45" i="25"/>
  <c r="H45" i="25"/>
  <c r="I45" i="25"/>
  <c r="J45" i="25"/>
  <c r="K45" i="25"/>
  <c r="L45" i="25"/>
  <c r="B32" i="26"/>
  <c r="C32" i="26"/>
  <c r="D32" i="26"/>
  <c r="B58" i="26"/>
  <c r="C58" i="26"/>
  <c r="D58" i="26"/>
  <c r="E89" i="26" l="1"/>
  <c r="F89" i="26"/>
  <c r="G89" i="26"/>
  <c r="H89" i="26"/>
  <c r="I89" i="26"/>
  <c r="J89" i="26"/>
  <c r="K89" i="26"/>
  <c r="L89" i="26"/>
  <c r="C89" i="26"/>
  <c r="D66" i="26"/>
  <c r="B16" i="25"/>
  <c r="C16" i="25"/>
  <c r="D16" i="25"/>
  <c r="D89" i="26" l="1"/>
  <c r="AM51" i="3" l="1"/>
  <c r="AL51" i="3"/>
  <c r="AK51" i="3"/>
  <c r="AJ51" i="3"/>
  <c r="AI51" i="3"/>
  <c r="AH51" i="3"/>
  <c r="AG51" i="3"/>
  <c r="AF51" i="3"/>
  <c r="AE51" i="3"/>
  <c r="AD51" i="3"/>
  <c r="AC51" i="3"/>
  <c r="AB51" i="3"/>
  <c r="AM42" i="3"/>
  <c r="AL42" i="3"/>
  <c r="AK42" i="3"/>
  <c r="AJ42" i="3"/>
  <c r="AI42" i="3"/>
  <c r="AH42" i="3"/>
  <c r="AG42" i="3"/>
  <c r="AF42" i="3"/>
  <c r="AE42" i="3"/>
  <c r="AD42" i="3"/>
  <c r="AC42" i="3"/>
  <c r="AB42" i="3"/>
  <c r="AM30" i="3"/>
  <c r="AL30" i="3"/>
  <c r="AK30" i="3"/>
  <c r="AJ30" i="3"/>
  <c r="AI30" i="3"/>
  <c r="AH30" i="3"/>
  <c r="AG30" i="3"/>
  <c r="AF30" i="3"/>
  <c r="AE30" i="3"/>
  <c r="AD30" i="3"/>
  <c r="AC30" i="3"/>
  <c r="AB30" i="3"/>
  <c r="AL28" i="3"/>
  <c r="AL60" i="3" s="1"/>
  <c r="AK28" i="3"/>
  <c r="AK60" i="3" s="1"/>
  <c r="AJ28" i="3"/>
  <c r="AJ60" i="3" s="1"/>
  <c r="AI28" i="3"/>
  <c r="AI60" i="3" s="1"/>
  <c r="AI62" i="3" s="1"/>
  <c r="AM17" i="3"/>
  <c r="AL17" i="3"/>
  <c r="AK17" i="3"/>
  <c r="AJ17" i="3"/>
  <c r="AI17" i="3"/>
  <c r="AH17" i="3"/>
  <c r="AG17" i="3"/>
  <c r="AF17" i="3"/>
  <c r="AE17" i="3"/>
  <c r="AD17" i="3"/>
  <c r="AC17" i="3"/>
  <c r="AB17" i="3"/>
  <c r="AM8" i="3"/>
  <c r="AM6" i="3" s="1"/>
  <c r="AL8" i="3"/>
  <c r="AL6" i="3" s="1"/>
  <c r="AK8" i="3"/>
  <c r="AK6" i="3" s="1"/>
  <c r="AJ8" i="3"/>
  <c r="AJ6" i="3" s="1"/>
  <c r="AI8" i="3"/>
  <c r="AH8" i="3"/>
  <c r="AG8" i="3"/>
  <c r="AF8" i="3"/>
  <c r="AE8" i="3"/>
  <c r="AD8" i="3"/>
  <c r="AC8" i="3"/>
  <c r="AB8" i="3"/>
  <c r="AI6" i="3"/>
  <c r="N62" i="3"/>
  <c r="Q51" i="3"/>
  <c r="O58" i="3"/>
  <c r="P58" i="3" s="1"/>
  <c r="P57" i="3"/>
  <c r="O57" i="3"/>
  <c r="O56" i="3"/>
  <c r="O54" i="3"/>
  <c r="Z42" i="3"/>
  <c r="Y42" i="3"/>
  <c r="X42" i="3"/>
  <c r="W42" i="3"/>
  <c r="V42" i="3"/>
  <c r="U42" i="3"/>
  <c r="T42" i="3"/>
  <c r="S42" i="3"/>
  <c r="R42" i="3"/>
  <c r="Q42" i="3"/>
  <c r="P42" i="3"/>
  <c r="O42" i="3"/>
  <c r="Z51" i="3"/>
  <c r="Y51" i="3"/>
  <c r="X51" i="3"/>
  <c r="W51" i="3"/>
  <c r="V51" i="3"/>
  <c r="U51" i="3"/>
  <c r="T51" i="3"/>
  <c r="S51" i="3"/>
  <c r="R51" i="3"/>
  <c r="Z30" i="3"/>
  <c r="Y30" i="3"/>
  <c r="X30" i="3"/>
  <c r="W30" i="3"/>
  <c r="V30" i="3"/>
  <c r="V28" i="3" s="1"/>
  <c r="U30" i="3"/>
  <c r="T30" i="3"/>
  <c r="S30" i="3"/>
  <c r="R30" i="3"/>
  <c r="Q30" i="3"/>
  <c r="P30" i="3"/>
  <c r="O30" i="3"/>
  <c r="Z17" i="3"/>
  <c r="Y17" i="3"/>
  <c r="X17" i="3"/>
  <c r="W17" i="3"/>
  <c r="V17" i="3"/>
  <c r="U17" i="3"/>
  <c r="T17" i="3"/>
  <c r="S17" i="3"/>
  <c r="R17" i="3"/>
  <c r="Q17" i="3"/>
  <c r="P17" i="3"/>
  <c r="O17" i="3"/>
  <c r="Z8" i="3"/>
  <c r="Y8" i="3"/>
  <c r="Y6" i="3" s="1"/>
  <c r="X8" i="3"/>
  <c r="X6" i="3" s="1"/>
  <c r="W8" i="3"/>
  <c r="V8" i="3"/>
  <c r="U8" i="3"/>
  <c r="T8" i="3"/>
  <c r="S8" i="3"/>
  <c r="R8" i="3"/>
  <c r="Q8" i="3"/>
  <c r="P8" i="3"/>
  <c r="W6" i="3"/>
  <c r="O8" i="3"/>
  <c r="O6" i="3" s="1"/>
  <c r="W64" i="1"/>
  <c r="V64" i="1"/>
  <c r="W60" i="1"/>
  <c r="W62" i="1" s="1"/>
  <c r="V60" i="1"/>
  <c r="V62" i="1" s="1"/>
  <c r="U64" i="1"/>
  <c r="T64" i="1"/>
  <c r="S64" i="1"/>
  <c r="R64" i="1"/>
  <c r="Q64" i="1"/>
  <c r="P64" i="1"/>
  <c r="O64" i="1"/>
  <c r="N64" i="1"/>
  <c r="M64" i="1"/>
  <c r="L64" i="1"/>
  <c r="K64" i="1"/>
  <c r="U62" i="1"/>
  <c r="T62" i="1"/>
  <c r="S62" i="1"/>
  <c r="R62" i="1"/>
  <c r="Q62" i="1"/>
  <c r="U60" i="1"/>
  <c r="T60" i="1"/>
  <c r="S60" i="1"/>
  <c r="R60" i="1"/>
  <c r="Q60" i="1"/>
  <c r="P60" i="1"/>
  <c r="P62" i="1" s="1"/>
  <c r="O60" i="1"/>
  <c r="O62" i="1" s="1"/>
  <c r="N60" i="1"/>
  <c r="N62" i="1" s="1"/>
  <c r="M60" i="1"/>
  <c r="M62" i="1" s="1"/>
  <c r="L60" i="1"/>
  <c r="L62" i="1" s="1"/>
  <c r="K60" i="1"/>
  <c r="K62" i="1" s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W30" i="1"/>
  <c r="W28" i="1" s="1"/>
  <c r="V30" i="1"/>
  <c r="U30" i="1"/>
  <c r="T30" i="1"/>
  <c r="S30" i="1"/>
  <c r="S28" i="1" s="1"/>
  <c r="R30" i="1"/>
  <c r="R28" i="1" s="1"/>
  <c r="Q30" i="1"/>
  <c r="Q28" i="1" s="1"/>
  <c r="P30" i="1"/>
  <c r="P28" i="1" s="1"/>
  <c r="O30" i="1"/>
  <c r="N30" i="1"/>
  <c r="M30" i="1"/>
  <c r="L30" i="1"/>
  <c r="K30" i="1"/>
  <c r="V28" i="1"/>
  <c r="U28" i="1"/>
  <c r="T28" i="1"/>
  <c r="N28" i="1"/>
  <c r="M28" i="1"/>
  <c r="L28" i="1"/>
  <c r="W17" i="1"/>
  <c r="W6" i="1" s="1"/>
  <c r="V17" i="1"/>
  <c r="U17" i="1"/>
  <c r="T17" i="1"/>
  <c r="S17" i="1"/>
  <c r="R17" i="1"/>
  <c r="Q17" i="1"/>
  <c r="P17" i="1"/>
  <c r="O17" i="1"/>
  <c r="N17" i="1"/>
  <c r="M17" i="1"/>
  <c r="L17" i="1"/>
  <c r="K17" i="1"/>
  <c r="W8" i="1"/>
  <c r="V8" i="1"/>
  <c r="U8" i="1"/>
  <c r="T8" i="1"/>
  <c r="S8" i="1"/>
  <c r="R8" i="1"/>
  <c r="Q8" i="1"/>
  <c r="P8" i="1"/>
  <c r="O8" i="1"/>
  <c r="N8" i="1"/>
  <c r="M8" i="1"/>
  <c r="M6" i="1" s="1"/>
  <c r="L8" i="1"/>
  <c r="L6" i="1" s="1"/>
  <c r="K8" i="1"/>
  <c r="V6" i="1"/>
  <c r="U6" i="1"/>
  <c r="T6" i="1"/>
  <c r="S6" i="1"/>
  <c r="N6" i="1"/>
  <c r="P51" i="3" l="1"/>
  <c r="O51" i="3"/>
  <c r="AM28" i="3"/>
  <c r="AM60" i="3" s="1"/>
  <c r="Z6" i="3"/>
  <c r="AK62" i="3"/>
  <c r="AJ62" i="3"/>
  <c r="AL62" i="3"/>
  <c r="P6" i="3"/>
  <c r="Q6" i="3"/>
  <c r="V6" i="3"/>
  <c r="AH6" i="3"/>
  <c r="AH62" i="3" s="1"/>
  <c r="V60" i="3"/>
  <c r="R6" i="3"/>
  <c r="AM62" i="3"/>
  <c r="AD28" i="3"/>
  <c r="AD60" i="3" s="1"/>
  <c r="AE28" i="3"/>
  <c r="AE60" i="3" s="1"/>
  <c r="AF28" i="3"/>
  <c r="AF60" i="3" s="1"/>
  <c r="AF6" i="3"/>
  <c r="AF62" i="3" s="1"/>
  <c r="AB28" i="3"/>
  <c r="AB60" i="3" s="1"/>
  <c r="AC28" i="3"/>
  <c r="AC60" i="3" s="1"/>
  <c r="AG28" i="3"/>
  <c r="AG60" i="3" s="1"/>
  <c r="AH28" i="3"/>
  <c r="AH60" i="3" s="1"/>
  <c r="AC6" i="3"/>
  <c r="AD6" i="3"/>
  <c r="AE6" i="3"/>
  <c r="AB6" i="3"/>
  <c r="AG6" i="3"/>
  <c r="AG62" i="3" s="1"/>
  <c r="Y28" i="3"/>
  <c r="Y60" i="3" s="1"/>
  <c r="Y62" i="3" s="1"/>
  <c r="W28" i="3"/>
  <c r="W60" i="3" s="1"/>
  <c r="W62" i="3" s="1"/>
  <c r="X28" i="3"/>
  <c r="X60" i="3" s="1"/>
  <c r="X62" i="3" s="1"/>
  <c r="Z28" i="3"/>
  <c r="Z60" i="3" s="1"/>
  <c r="Z62" i="3" s="1"/>
  <c r="Q28" i="3"/>
  <c r="Q60" i="3" s="1"/>
  <c r="Q62" i="3" s="1"/>
  <c r="R28" i="3"/>
  <c r="R60" i="3" s="1"/>
  <c r="R62" i="3" s="1"/>
  <c r="S28" i="3"/>
  <c r="S60" i="3" s="1"/>
  <c r="S62" i="3" s="1"/>
  <c r="O28" i="3"/>
  <c r="T28" i="3"/>
  <c r="T60" i="3" s="1"/>
  <c r="T62" i="3" s="1"/>
  <c r="U28" i="3"/>
  <c r="U60" i="3" s="1"/>
  <c r="P28" i="3"/>
  <c r="P60" i="3" s="1"/>
  <c r="S6" i="3"/>
  <c r="T6" i="3"/>
  <c r="U6" i="3"/>
  <c r="K28" i="1"/>
  <c r="O28" i="1"/>
  <c r="K6" i="1"/>
  <c r="O6" i="1"/>
  <c r="P6" i="1"/>
  <c r="Q6" i="1"/>
  <c r="R6" i="1"/>
  <c r="O60" i="3" l="1"/>
  <c r="O62" i="3" s="1"/>
  <c r="V62" i="3"/>
  <c r="P62" i="3"/>
  <c r="AB62" i="3"/>
  <c r="AE62" i="3"/>
  <c r="AD62" i="3"/>
  <c r="U62" i="3"/>
  <c r="AC62" i="3"/>
  <c r="AZ12" i="11" l="1"/>
  <c r="AZ118" i="11"/>
  <c r="AZ117" i="11"/>
  <c r="AZ116" i="11"/>
  <c r="BE120" i="11"/>
  <c r="BD120" i="11"/>
  <c r="BA120" i="11"/>
  <c r="AY120" i="11"/>
  <c r="AX120" i="11"/>
  <c r="AW120" i="11"/>
  <c r="AV120" i="11"/>
  <c r="AU120" i="11"/>
  <c r="AT120" i="11"/>
  <c r="AS120" i="11"/>
  <c r="AR120" i="11"/>
  <c r="AN120" i="11"/>
  <c r="AD120" i="11"/>
  <c r="AC120" i="11"/>
  <c r="AA120" i="11"/>
  <c r="Y120" i="11"/>
  <c r="X120" i="11"/>
  <c r="V120" i="11"/>
  <c r="U120" i="11"/>
  <c r="T120" i="11"/>
  <c r="R120" i="11"/>
  <c r="Q120" i="11"/>
  <c r="P120" i="11"/>
  <c r="O120" i="11"/>
  <c r="K120" i="11"/>
  <c r="J120" i="11"/>
  <c r="I120" i="11"/>
  <c r="H120" i="11"/>
  <c r="G120" i="11"/>
  <c r="F120" i="11"/>
  <c r="E120" i="11"/>
  <c r="D120" i="11"/>
  <c r="C120" i="11"/>
  <c r="B120" i="11"/>
  <c r="BE118" i="11"/>
  <c r="BD118" i="11"/>
  <c r="BA118" i="11"/>
  <c r="AY118" i="11"/>
  <c r="AX118" i="11"/>
  <c r="AW118" i="11"/>
  <c r="AV118" i="11"/>
  <c r="AU118" i="11"/>
  <c r="AT118" i="11"/>
  <c r="AS118" i="11"/>
  <c r="AR118" i="11"/>
  <c r="AO118" i="11"/>
  <c r="AN118" i="11"/>
  <c r="AF118" i="11"/>
  <c r="AA118" i="11"/>
  <c r="Z118" i="11"/>
  <c r="Y118" i="11"/>
  <c r="V118" i="11"/>
  <c r="U118" i="11"/>
  <c r="T118" i="11"/>
  <c r="R118" i="11"/>
  <c r="Q118" i="11"/>
  <c r="P118" i="11"/>
  <c r="O118" i="11"/>
  <c r="M118" i="11"/>
  <c r="K118" i="11"/>
  <c r="J118" i="11"/>
  <c r="I118" i="11"/>
  <c r="H118" i="11"/>
  <c r="G118" i="11"/>
  <c r="F118" i="11"/>
  <c r="E118" i="11"/>
  <c r="D118" i="11"/>
  <c r="C118" i="11"/>
  <c r="B118" i="11"/>
  <c r="AT104" i="11"/>
  <c r="AS104" i="11"/>
  <c r="AR104" i="11"/>
  <c r="AQ104" i="11"/>
  <c r="AQ118" i="11" s="1"/>
  <c r="AP104" i="11"/>
  <c r="AP118" i="11" s="1"/>
  <c r="AO104" i="11"/>
  <c r="AO120" i="11" s="1"/>
  <c r="AN104" i="11"/>
  <c r="AF104" i="11"/>
  <c r="AF120" i="11" s="1"/>
  <c r="AE104" i="11"/>
  <c r="AE118" i="11" s="1"/>
  <c r="AD104" i="11"/>
  <c r="AD118" i="11" s="1"/>
  <c r="AC104" i="11"/>
  <c r="AC118" i="11" s="1"/>
  <c r="AB104" i="11"/>
  <c r="AB118" i="11" s="1"/>
  <c r="AA104" i="11"/>
  <c r="Z104" i="11"/>
  <c r="Z120" i="11" s="1"/>
  <c r="Y104" i="11"/>
  <c r="X104" i="11"/>
  <c r="X118" i="11" s="1"/>
  <c r="W104" i="11"/>
  <c r="W120" i="11" s="1"/>
  <c r="V104" i="11"/>
  <c r="U104" i="11"/>
  <c r="AI104" i="11" s="1"/>
  <c r="AI120" i="11" s="1"/>
  <c r="M104" i="11"/>
  <c r="M120" i="11" s="1"/>
  <c r="L104" i="11"/>
  <c r="L118" i="11" s="1"/>
  <c r="K104" i="11"/>
  <c r="J104" i="11"/>
  <c r="I104" i="11"/>
  <c r="H104" i="11"/>
  <c r="R104" i="11" s="1"/>
  <c r="G104" i="11"/>
  <c r="F104" i="11"/>
  <c r="E104" i="11"/>
  <c r="D104" i="11"/>
  <c r="C104" i="11"/>
  <c r="B104" i="11"/>
  <c r="BG120" i="11"/>
  <c r="BF120" i="11"/>
  <c r="BG117" i="11"/>
  <c r="BF117" i="11"/>
  <c r="BA117" i="11"/>
  <c r="AY117" i="11"/>
  <c r="AX117" i="11"/>
  <c r="AW117" i="11"/>
  <c r="AV117" i="11"/>
  <c r="AU117" i="11"/>
  <c r="AT117" i="11"/>
  <c r="AS117" i="11"/>
  <c r="AR117" i="11"/>
  <c r="AQ117" i="11"/>
  <c r="AP117" i="11"/>
  <c r="AO117" i="11"/>
  <c r="AN117" i="11"/>
  <c r="AF117" i="11"/>
  <c r="AE117" i="11"/>
  <c r="AD117" i="11"/>
  <c r="AC117" i="11"/>
  <c r="AB117" i="11"/>
  <c r="AA117" i="11"/>
  <c r="Z117" i="11"/>
  <c r="Y117" i="11"/>
  <c r="X117" i="11"/>
  <c r="W117" i="11"/>
  <c r="V117" i="11"/>
  <c r="U117" i="11"/>
  <c r="O117" i="11"/>
  <c r="M117" i="11"/>
  <c r="L117" i="11"/>
  <c r="K117" i="11"/>
  <c r="J117" i="11"/>
  <c r="I117" i="11"/>
  <c r="H117" i="11"/>
  <c r="G117" i="11"/>
  <c r="F117" i="11"/>
  <c r="E117" i="11"/>
  <c r="D117" i="11"/>
  <c r="C117" i="11"/>
  <c r="B117" i="11"/>
  <c r="AV119" i="11"/>
  <c r="AU119" i="11"/>
  <c r="AT119" i="11"/>
  <c r="AS119" i="11"/>
  <c r="AR119" i="11"/>
  <c r="AQ119" i="11"/>
  <c r="AO119" i="11"/>
  <c r="AN119" i="11"/>
  <c r="M119" i="11"/>
  <c r="H119" i="11"/>
  <c r="F119" i="11"/>
  <c r="E119" i="11"/>
  <c r="D119" i="11"/>
  <c r="C119" i="11"/>
  <c r="B119" i="11"/>
  <c r="AY116" i="11"/>
  <c r="AX116" i="11"/>
  <c r="AW116" i="11"/>
  <c r="AV116" i="11"/>
  <c r="AU116" i="11"/>
  <c r="AT116" i="11"/>
  <c r="AS116" i="11"/>
  <c r="AR116" i="11"/>
  <c r="AQ116" i="11"/>
  <c r="AP116" i="11"/>
  <c r="AO116" i="11"/>
  <c r="AN116" i="11"/>
  <c r="AF116" i="11"/>
  <c r="AE116" i="11"/>
  <c r="AD116" i="11"/>
  <c r="AC116" i="11"/>
  <c r="AB116" i="11"/>
  <c r="AA116" i="11"/>
  <c r="Z116" i="11"/>
  <c r="Y116" i="11"/>
  <c r="X116" i="11"/>
  <c r="W116" i="11"/>
  <c r="V116" i="11"/>
  <c r="U116" i="11"/>
  <c r="M116" i="11"/>
  <c r="H116" i="11"/>
  <c r="E116" i="11"/>
  <c r="D116" i="11"/>
  <c r="C116" i="11"/>
  <c r="B116" i="11"/>
  <c r="AV115" i="11"/>
  <c r="AU115" i="11"/>
  <c r="AT115" i="11"/>
  <c r="AS115" i="11"/>
  <c r="AR115" i="11"/>
  <c r="AQ115" i="11"/>
  <c r="AO115" i="11"/>
  <c r="AN115" i="11"/>
  <c r="AF115" i="11"/>
  <c r="AE115" i="11"/>
  <c r="AD115" i="11"/>
  <c r="AC115" i="11"/>
  <c r="AB115" i="11"/>
  <c r="AA115" i="11"/>
  <c r="Z115" i="11"/>
  <c r="Y115" i="11"/>
  <c r="X115" i="11"/>
  <c r="W115" i="11"/>
  <c r="V115" i="11"/>
  <c r="U115" i="11"/>
  <c r="M115" i="11"/>
  <c r="H115" i="11"/>
  <c r="G115" i="11"/>
  <c r="E115" i="11"/>
  <c r="D115" i="11"/>
  <c r="C115" i="11"/>
  <c r="B115" i="11"/>
  <c r="AZ114" i="11"/>
  <c r="N114" i="11"/>
  <c r="BE113" i="11"/>
  <c r="BD113" i="11"/>
  <c r="BC113" i="11"/>
  <c r="BB113" i="11"/>
  <c r="AZ113" i="11"/>
  <c r="AL113" i="11"/>
  <c r="AK113" i="11"/>
  <c r="AJ113" i="11"/>
  <c r="AI113" i="11"/>
  <c r="AG113" i="11"/>
  <c r="S113" i="11"/>
  <c r="R113" i="11"/>
  <c r="Q113" i="11"/>
  <c r="P113" i="11"/>
  <c r="N113" i="11"/>
  <c r="BE112" i="11"/>
  <c r="BD112" i="11"/>
  <c r="BC112" i="11"/>
  <c r="BB112" i="11"/>
  <c r="AZ112" i="11"/>
  <c r="AL112" i="11"/>
  <c r="AK112" i="11"/>
  <c r="AJ112" i="11"/>
  <c r="AI112" i="11"/>
  <c r="AG112" i="11"/>
  <c r="S112" i="11"/>
  <c r="R112" i="11"/>
  <c r="Q112" i="11"/>
  <c r="P112" i="11"/>
  <c r="N112" i="11"/>
  <c r="BE111" i="11"/>
  <c r="BD111" i="11"/>
  <c r="BC111" i="11"/>
  <c r="BB111" i="11"/>
  <c r="AZ111" i="11"/>
  <c r="AL111" i="11"/>
  <c r="AK111" i="11"/>
  <c r="AJ111" i="11"/>
  <c r="AI111" i="11"/>
  <c r="AG111" i="11"/>
  <c r="S111" i="11"/>
  <c r="R111" i="11"/>
  <c r="Q111" i="11"/>
  <c r="P111" i="11"/>
  <c r="N111" i="11"/>
  <c r="BE110" i="11"/>
  <c r="BD110" i="11"/>
  <c r="BC110" i="11"/>
  <c r="BB110" i="11"/>
  <c r="AZ110" i="11"/>
  <c r="AL110" i="11"/>
  <c r="AK110" i="11"/>
  <c r="AJ110" i="11"/>
  <c r="AI110" i="11"/>
  <c r="AG110" i="11"/>
  <c r="S110" i="11"/>
  <c r="R110" i="11"/>
  <c r="Q110" i="11"/>
  <c r="P110" i="11"/>
  <c r="N110" i="11"/>
  <c r="BE109" i="11"/>
  <c r="BD109" i="11"/>
  <c r="BC109" i="11"/>
  <c r="BB109" i="11"/>
  <c r="AZ109" i="11"/>
  <c r="AL109" i="11"/>
  <c r="AK109" i="11"/>
  <c r="AJ109" i="11"/>
  <c r="AI109" i="11"/>
  <c r="AG109" i="11"/>
  <c r="S109" i="11"/>
  <c r="R109" i="11"/>
  <c r="Q109" i="11"/>
  <c r="P109" i="11"/>
  <c r="N109" i="11"/>
  <c r="BE107" i="11"/>
  <c r="BD107" i="11"/>
  <c r="BC107" i="11"/>
  <c r="BB107" i="11"/>
  <c r="AZ107" i="11"/>
  <c r="AL107" i="11"/>
  <c r="AK107" i="11"/>
  <c r="AJ107" i="11"/>
  <c r="AI107" i="11"/>
  <c r="AG107" i="11"/>
  <c r="S107" i="11"/>
  <c r="R107" i="11"/>
  <c r="Q107" i="11"/>
  <c r="P107" i="11"/>
  <c r="N107" i="11"/>
  <c r="BE106" i="11"/>
  <c r="BD106" i="11"/>
  <c r="BC106" i="11"/>
  <c r="BB106" i="11"/>
  <c r="AZ106" i="11"/>
  <c r="AL106" i="11"/>
  <c r="AK106" i="11"/>
  <c r="AJ106" i="11"/>
  <c r="AI106" i="11"/>
  <c r="AG106" i="11"/>
  <c r="S106" i="11"/>
  <c r="R106" i="11"/>
  <c r="Q106" i="11"/>
  <c r="P106" i="11"/>
  <c r="N106" i="11"/>
  <c r="BE105" i="11"/>
  <c r="BD105" i="11"/>
  <c r="BC105" i="11"/>
  <c r="BB105" i="11"/>
  <c r="AZ105" i="11"/>
  <c r="AL105" i="11"/>
  <c r="AK105" i="11"/>
  <c r="AJ105" i="11"/>
  <c r="AI105" i="11"/>
  <c r="AG105" i="11"/>
  <c r="S105" i="11"/>
  <c r="R105" i="11"/>
  <c r="Q105" i="11"/>
  <c r="P105" i="11"/>
  <c r="N105" i="11"/>
  <c r="BE104" i="11"/>
  <c r="BD104" i="11"/>
  <c r="BE103" i="11"/>
  <c r="BD103" i="11"/>
  <c r="BC103" i="11"/>
  <c r="BB103" i="11"/>
  <c r="AZ103" i="11"/>
  <c r="AL103" i="11"/>
  <c r="AK103" i="11"/>
  <c r="AJ103" i="11"/>
  <c r="AI103" i="11"/>
  <c r="AG103" i="11"/>
  <c r="S103" i="11"/>
  <c r="R103" i="11"/>
  <c r="Q103" i="11"/>
  <c r="P103" i="11"/>
  <c r="N103" i="11"/>
  <c r="BE102" i="11"/>
  <c r="BD102" i="11"/>
  <c r="BC102" i="11"/>
  <c r="BB102" i="11"/>
  <c r="AZ102" i="11"/>
  <c r="AL102" i="11"/>
  <c r="AK102" i="11"/>
  <c r="AJ102" i="11"/>
  <c r="AI102" i="11"/>
  <c r="AG102" i="11"/>
  <c r="S102" i="11"/>
  <c r="R102" i="11"/>
  <c r="Q102" i="11"/>
  <c r="P102" i="11"/>
  <c r="N102" i="11"/>
  <c r="BE100" i="11"/>
  <c r="BD100" i="11"/>
  <c r="BC100" i="11"/>
  <c r="BB100" i="11"/>
  <c r="AZ100" i="11"/>
  <c r="AL100" i="11"/>
  <c r="AK100" i="11"/>
  <c r="AJ100" i="11"/>
  <c r="AI100" i="11"/>
  <c r="AG100" i="11"/>
  <c r="S100" i="11"/>
  <c r="R100" i="11"/>
  <c r="Q100" i="11"/>
  <c r="P100" i="11"/>
  <c r="N100" i="11"/>
  <c r="BE99" i="11"/>
  <c r="BD99" i="11"/>
  <c r="BC99" i="11"/>
  <c r="BB99" i="11"/>
  <c r="AZ99" i="11"/>
  <c r="AL99" i="11"/>
  <c r="AK99" i="11"/>
  <c r="AJ99" i="11"/>
  <c r="AI99" i="11"/>
  <c r="AG99" i="11"/>
  <c r="S99" i="11"/>
  <c r="R99" i="11"/>
  <c r="Q99" i="11"/>
  <c r="P99" i="11"/>
  <c r="N99" i="11"/>
  <c r="BE98" i="11"/>
  <c r="BD98" i="11"/>
  <c r="BC98" i="11"/>
  <c r="BB98" i="11"/>
  <c r="AZ98" i="11"/>
  <c r="AL98" i="11"/>
  <c r="AK98" i="11"/>
  <c r="AJ98" i="11"/>
  <c r="AI98" i="11"/>
  <c r="AG98" i="11"/>
  <c r="S98" i="11"/>
  <c r="R98" i="11"/>
  <c r="Q98" i="11"/>
  <c r="P98" i="11"/>
  <c r="N98" i="11"/>
  <c r="BE97" i="11"/>
  <c r="BD97" i="11"/>
  <c r="BC97" i="11"/>
  <c r="BB97" i="11"/>
  <c r="AZ97" i="11"/>
  <c r="AL97" i="11"/>
  <c r="AK97" i="11"/>
  <c r="AJ97" i="11"/>
  <c r="AI97" i="11"/>
  <c r="AG97" i="11"/>
  <c r="S97" i="11"/>
  <c r="R97" i="11"/>
  <c r="Q97" i="11"/>
  <c r="P97" i="11"/>
  <c r="N97" i="11"/>
  <c r="BE96" i="11"/>
  <c r="BD96" i="11"/>
  <c r="BC96" i="11"/>
  <c r="BB96" i="11"/>
  <c r="AZ96" i="11"/>
  <c r="AL96" i="11"/>
  <c r="AK96" i="11"/>
  <c r="AJ96" i="11"/>
  <c r="AI96" i="11"/>
  <c r="AG96" i="11"/>
  <c r="S96" i="11"/>
  <c r="R96" i="11"/>
  <c r="Q96" i="11"/>
  <c r="P96" i="11"/>
  <c r="N96" i="11"/>
  <c r="BE95" i="11"/>
  <c r="BD95" i="11"/>
  <c r="BC95" i="11"/>
  <c r="BB95" i="11"/>
  <c r="AZ95" i="11"/>
  <c r="AL95" i="11"/>
  <c r="AK95" i="11"/>
  <c r="AJ95" i="11"/>
  <c r="AI95" i="11"/>
  <c r="AG95" i="11"/>
  <c r="S95" i="11"/>
  <c r="R95" i="11"/>
  <c r="Q95" i="11"/>
  <c r="P95" i="11"/>
  <c r="N95" i="11"/>
  <c r="BE94" i="11"/>
  <c r="BD94" i="11"/>
  <c r="BC94" i="11"/>
  <c r="BB94" i="11"/>
  <c r="AZ94" i="11"/>
  <c r="AL94" i="11"/>
  <c r="AK94" i="11"/>
  <c r="AJ94" i="11"/>
  <c r="AI94" i="11"/>
  <c r="AG94" i="11"/>
  <c r="S94" i="11"/>
  <c r="R94" i="11"/>
  <c r="Q94" i="11"/>
  <c r="P94" i="11"/>
  <c r="N94" i="11"/>
  <c r="BE93" i="11"/>
  <c r="BD93" i="11"/>
  <c r="BC93" i="11"/>
  <c r="BB93" i="11"/>
  <c r="AZ93" i="11"/>
  <c r="AL93" i="11"/>
  <c r="AK93" i="11"/>
  <c r="AJ93" i="11"/>
  <c r="AI93" i="11"/>
  <c r="AG93" i="11"/>
  <c r="S93" i="11"/>
  <c r="R93" i="11"/>
  <c r="Q93" i="11"/>
  <c r="P93" i="11"/>
  <c r="N93" i="11"/>
  <c r="BE92" i="11"/>
  <c r="BD92" i="11"/>
  <c r="BC92" i="11"/>
  <c r="BB92" i="11"/>
  <c r="AZ92" i="11"/>
  <c r="AL92" i="11"/>
  <c r="AK92" i="11"/>
  <c r="AJ92" i="11"/>
  <c r="AI92" i="11"/>
  <c r="AG92" i="11"/>
  <c r="S92" i="11"/>
  <c r="R92" i="11"/>
  <c r="Q92" i="11"/>
  <c r="P92" i="11"/>
  <c r="N92" i="11"/>
  <c r="BE91" i="11"/>
  <c r="BD91" i="11"/>
  <c r="BC91" i="11"/>
  <c r="BB91" i="11"/>
  <c r="AZ91" i="11"/>
  <c r="AL91" i="11"/>
  <c r="AK91" i="11"/>
  <c r="AJ91" i="11"/>
  <c r="AI91" i="11"/>
  <c r="AG91" i="11"/>
  <c r="S91" i="11"/>
  <c r="R91" i="11"/>
  <c r="P91" i="11"/>
  <c r="F91" i="11"/>
  <c r="Q91" i="11" s="1"/>
  <c r="BE90" i="11"/>
  <c r="BD90" i="11"/>
  <c r="BC90" i="11"/>
  <c r="BB90" i="11"/>
  <c r="AZ90" i="11"/>
  <c r="AL90" i="11"/>
  <c r="AK90" i="11"/>
  <c r="AJ90" i="11"/>
  <c r="AI90" i="11"/>
  <c r="BE89" i="11"/>
  <c r="BD89" i="11"/>
  <c r="BC89" i="11"/>
  <c r="BB89" i="11"/>
  <c r="AZ89" i="11"/>
  <c r="AL89" i="11"/>
  <c r="AK89" i="11"/>
  <c r="AJ89" i="11"/>
  <c r="AI89" i="11"/>
  <c r="AG89" i="11"/>
  <c r="S89" i="11"/>
  <c r="R89" i="11"/>
  <c r="P89" i="11"/>
  <c r="F89" i="11"/>
  <c r="Q89" i="11" s="1"/>
  <c r="BE88" i="11"/>
  <c r="BD88" i="11"/>
  <c r="BC88" i="11"/>
  <c r="BB88" i="11"/>
  <c r="AZ88" i="11"/>
  <c r="AL88" i="11"/>
  <c r="AK88" i="11"/>
  <c r="AJ88" i="11"/>
  <c r="AI88" i="11"/>
  <c r="AG88" i="11"/>
  <c r="S88" i="11"/>
  <c r="R88" i="11"/>
  <c r="Q88" i="11"/>
  <c r="P88" i="11"/>
  <c r="N88" i="11"/>
  <c r="BE87" i="11"/>
  <c r="BD87" i="11"/>
  <c r="BC87" i="11"/>
  <c r="BB87" i="11"/>
  <c r="AZ87" i="11"/>
  <c r="AL87" i="11"/>
  <c r="AK87" i="11"/>
  <c r="AJ87" i="11"/>
  <c r="AI87" i="11"/>
  <c r="AG87" i="11"/>
  <c r="S87" i="11"/>
  <c r="R87" i="11"/>
  <c r="Q87" i="11"/>
  <c r="P87" i="11"/>
  <c r="N87" i="11"/>
  <c r="BE86" i="11"/>
  <c r="BD86" i="11"/>
  <c r="BC86" i="11"/>
  <c r="BB86" i="11"/>
  <c r="AZ86" i="11"/>
  <c r="AL86" i="11"/>
  <c r="AK86" i="11"/>
  <c r="AJ86" i="11"/>
  <c r="AI86" i="11"/>
  <c r="AG86" i="11"/>
  <c r="S86" i="11"/>
  <c r="R86" i="11"/>
  <c r="Q86" i="11"/>
  <c r="P86" i="11"/>
  <c r="N86" i="11"/>
  <c r="BE85" i="11"/>
  <c r="BD85" i="11"/>
  <c r="BC85" i="11"/>
  <c r="BB85" i="11"/>
  <c r="AZ85" i="11"/>
  <c r="AL85" i="11"/>
  <c r="AK85" i="11"/>
  <c r="AJ85" i="11"/>
  <c r="AI85" i="11"/>
  <c r="AG85" i="11"/>
  <c r="S85" i="11"/>
  <c r="R85" i="11"/>
  <c r="Q85" i="11"/>
  <c r="P85" i="11"/>
  <c r="N85" i="11"/>
  <c r="BE84" i="11"/>
  <c r="BD84" i="11"/>
  <c r="BC84" i="11"/>
  <c r="BB84" i="11"/>
  <c r="AZ84" i="11"/>
  <c r="AL84" i="11"/>
  <c r="AK84" i="11"/>
  <c r="AJ84" i="11"/>
  <c r="AI84" i="11"/>
  <c r="AG84" i="11"/>
  <c r="S84" i="11"/>
  <c r="R84" i="11"/>
  <c r="Q84" i="11"/>
  <c r="P84" i="11"/>
  <c r="N84" i="11"/>
  <c r="BE83" i="11"/>
  <c r="BD83" i="11"/>
  <c r="BC83" i="11"/>
  <c r="BB83" i="11"/>
  <c r="AZ83" i="11"/>
  <c r="AL83" i="11"/>
  <c r="AK83" i="11"/>
  <c r="AJ83" i="11"/>
  <c r="AI83" i="11"/>
  <c r="AG83" i="11"/>
  <c r="S83" i="11"/>
  <c r="R83" i="11"/>
  <c r="Q83" i="11"/>
  <c r="P83" i="11"/>
  <c r="N83" i="11"/>
  <c r="BE82" i="11"/>
  <c r="BD82" i="11"/>
  <c r="BC82" i="11"/>
  <c r="BB82" i="11"/>
  <c r="AZ82" i="11"/>
  <c r="AL82" i="11"/>
  <c r="AK82" i="11"/>
  <c r="AJ82" i="11"/>
  <c r="AI82" i="11"/>
  <c r="AG82" i="11"/>
  <c r="S82" i="11"/>
  <c r="R82" i="11"/>
  <c r="Q82" i="11"/>
  <c r="P82" i="11"/>
  <c r="N82" i="11"/>
  <c r="BE81" i="11"/>
  <c r="BD81" i="11"/>
  <c r="BC81" i="11"/>
  <c r="BB81" i="11"/>
  <c r="AZ81" i="11"/>
  <c r="AL81" i="11"/>
  <c r="AK81" i="11"/>
  <c r="AJ81" i="11"/>
  <c r="AI81" i="11"/>
  <c r="AG81" i="11"/>
  <c r="S81" i="11"/>
  <c r="R81" i="11"/>
  <c r="Q81" i="11"/>
  <c r="P81" i="11"/>
  <c r="N81" i="11"/>
  <c r="BE80" i="11"/>
  <c r="BD80" i="11"/>
  <c r="BC80" i="11"/>
  <c r="BB80" i="11"/>
  <c r="AZ80" i="11"/>
  <c r="AL80" i="11"/>
  <c r="AK80" i="11"/>
  <c r="AJ80" i="11"/>
  <c r="AI80" i="11"/>
  <c r="AG80" i="11"/>
  <c r="S80" i="11"/>
  <c r="R80" i="11"/>
  <c r="Q80" i="11"/>
  <c r="P80" i="11"/>
  <c r="N80" i="11"/>
  <c r="BE79" i="11"/>
  <c r="BD79" i="11"/>
  <c r="BC79" i="11"/>
  <c r="BB79" i="11"/>
  <c r="AZ79" i="11"/>
  <c r="AL79" i="11"/>
  <c r="AK79" i="11"/>
  <c r="AJ79" i="11"/>
  <c r="AI79" i="11"/>
  <c r="AG79" i="11"/>
  <c r="S79" i="11"/>
  <c r="R79" i="11"/>
  <c r="Q79" i="11"/>
  <c r="P79" i="11"/>
  <c r="N79" i="11"/>
  <c r="BE78" i="11"/>
  <c r="BD78" i="11"/>
  <c r="BC78" i="11"/>
  <c r="BB78" i="11"/>
  <c r="AZ78" i="11"/>
  <c r="AL78" i="11"/>
  <c r="AK78" i="11"/>
  <c r="AJ78" i="11"/>
  <c r="AI78" i="11"/>
  <c r="AG78" i="11"/>
  <c r="S78" i="11"/>
  <c r="R78" i="11"/>
  <c r="Q78" i="11"/>
  <c r="P78" i="11"/>
  <c r="N78" i="11"/>
  <c r="BE77" i="11"/>
  <c r="BD77" i="11"/>
  <c r="BC77" i="11"/>
  <c r="BB77" i="11"/>
  <c r="AZ77" i="11"/>
  <c r="AL77" i="11"/>
  <c r="AK77" i="11"/>
  <c r="AJ77" i="11"/>
  <c r="AI77" i="11"/>
  <c r="AG77" i="11"/>
  <c r="S77" i="11"/>
  <c r="R77" i="11"/>
  <c r="Q77" i="11"/>
  <c r="P77" i="11"/>
  <c r="N77" i="11"/>
  <c r="BE76" i="11"/>
  <c r="BD76" i="11"/>
  <c r="BC76" i="11"/>
  <c r="BB76" i="11"/>
  <c r="AZ76" i="11"/>
  <c r="AL76" i="11"/>
  <c r="AK76" i="11"/>
  <c r="AJ76" i="11"/>
  <c r="AI76" i="11"/>
  <c r="AG76" i="11"/>
  <c r="S76" i="11"/>
  <c r="R76" i="11"/>
  <c r="Q76" i="11"/>
  <c r="P76" i="11"/>
  <c r="N76" i="11"/>
  <c r="BE75" i="11"/>
  <c r="BD75" i="11"/>
  <c r="BC75" i="11"/>
  <c r="BB75" i="11"/>
  <c r="AZ75" i="11"/>
  <c r="AL75" i="11"/>
  <c r="AK75" i="11"/>
  <c r="AJ75" i="11"/>
  <c r="AI75" i="11"/>
  <c r="AG75" i="11"/>
  <c r="S75" i="11"/>
  <c r="R75" i="11"/>
  <c r="Q75" i="11"/>
  <c r="P75" i="11"/>
  <c r="N75" i="11"/>
  <c r="BE74" i="11"/>
  <c r="BD74" i="11"/>
  <c r="BC74" i="11"/>
  <c r="BB74" i="11"/>
  <c r="AZ74" i="11"/>
  <c r="AL74" i="11"/>
  <c r="AK74" i="11"/>
  <c r="AJ74" i="11"/>
  <c r="AI74" i="11"/>
  <c r="AG74" i="11"/>
  <c r="S74" i="11"/>
  <c r="R74" i="11"/>
  <c r="Q74" i="11"/>
  <c r="P74" i="11"/>
  <c r="N74" i="11"/>
  <c r="BE73" i="11"/>
  <c r="BD73" i="11"/>
  <c r="BC73" i="11"/>
  <c r="BB73" i="11"/>
  <c r="AZ73" i="11"/>
  <c r="AL73" i="11"/>
  <c r="AK73" i="11"/>
  <c r="AJ73" i="11"/>
  <c r="AI73" i="11"/>
  <c r="AG73" i="11"/>
  <c r="S73" i="11"/>
  <c r="R73" i="11"/>
  <c r="Q73" i="11"/>
  <c r="P73" i="11"/>
  <c r="N73" i="11"/>
  <c r="BE72" i="11"/>
  <c r="BD72" i="11"/>
  <c r="BC72" i="11"/>
  <c r="BB72" i="11"/>
  <c r="AZ72" i="11"/>
  <c r="AL72" i="11"/>
  <c r="AK72" i="11"/>
  <c r="AJ72" i="11"/>
  <c r="AI72" i="11"/>
  <c r="AG72" i="11"/>
  <c r="S72" i="11"/>
  <c r="R72" i="11"/>
  <c r="Q72" i="11"/>
  <c r="P72" i="11"/>
  <c r="N72" i="11"/>
  <c r="BE71" i="11"/>
  <c r="BD71" i="11"/>
  <c r="BC71" i="11"/>
  <c r="BB71" i="11"/>
  <c r="AZ71" i="11"/>
  <c r="AL71" i="11"/>
  <c r="AK71" i="11"/>
  <c r="AJ71" i="11"/>
  <c r="AI71" i="11"/>
  <c r="AG71" i="11"/>
  <c r="S71" i="11"/>
  <c r="R71" i="11"/>
  <c r="Q71" i="11"/>
  <c r="P71" i="11"/>
  <c r="N71" i="11"/>
  <c r="BE70" i="11"/>
  <c r="BD70" i="11"/>
  <c r="BC70" i="11"/>
  <c r="BB70" i="11"/>
  <c r="AZ70" i="11"/>
  <c r="AL70" i="11"/>
  <c r="AK70" i="11"/>
  <c r="AJ70" i="11"/>
  <c r="AI70" i="11"/>
  <c r="AG70" i="11"/>
  <c r="S70" i="11"/>
  <c r="R70" i="11"/>
  <c r="Q70" i="11"/>
  <c r="P70" i="11"/>
  <c r="N70" i="11"/>
  <c r="BE69" i="11"/>
  <c r="BD69" i="11"/>
  <c r="BC69" i="11"/>
  <c r="BB69" i="11"/>
  <c r="AZ69" i="11"/>
  <c r="AL69" i="11"/>
  <c r="AK69" i="11"/>
  <c r="AJ69" i="11"/>
  <c r="AI69" i="11"/>
  <c r="AG69" i="11"/>
  <c r="S69" i="11"/>
  <c r="R69" i="11"/>
  <c r="Q69" i="11"/>
  <c r="P69" i="11"/>
  <c r="N69" i="11"/>
  <c r="BE68" i="11"/>
  <c r="BD68" i="11"/>
  <c r="BC68" i="11"/>
  <c r="BB68" i="11"/>
  <c r="AZ68" i="11"/>
  <c r="AL68" i="11"/>
  <c r="AK68" i="11"/>
  <c r="AJ68" i="11"/>
  <c r="AI68" i="11"/>
  <c r="AG68" i="11"/>
  <c r="S68" i="11"/>
  <c r="R68" i="11"/>
  <c r="Q68" i="11"/>
  <c r="P68" i="11"/>
  <c r="N68" i="11"/>
  <c r="BE67" i="11"/>
  <c r="BD67" i="11"/>
  <c r="BC67" i="11"/>
  <c r="BB67" i="11"/>
  <c r="AZ67" i="11"/>
  <c r="AL67" i="11"/>
  <c r="AK67" i="11"/>
  <c r="AJ67" i="11"/>
  <c r="AI67" i="11"/>
  <c r="AG67" i="11"/>
  <c r="S67" i="11"/>
  <c r="R67" i="11"/>
  <c r="Q67" i="11"/>
  <c r="P67" i="11"/>
  <c r="N67" i="11"/>
  <c r="BE65" i="11"/>
  <c r="BD65" i="11"/>
  <c r="BC65" i="11"/>
  <c r="BB65" i="11"/>
  <c r="AZ65" i="11"/>
  <c r="AL65" i="11"/>
  <c r="AK65" i="11"/>
  <c r="AJ65" i="11"/>
  <c r="AI65" i="11"/>
  <c r="AG65" i="11"/>
  <c r="S65" i="11"/>
  <c r="R65" i="11"/>
  <c r="Q65" i="11"/>
  <c r="P65" i="11"/>
  <c r="N65" i="11"/>
  <c r="BE64" i="11"/>
  <c r="BD64" i="11"/>
  <c r="BC64" i="11"/>
  <c r="BB64" i="11"/>
  <c r="AZ64" i="11"/>
  <c r="AL64" i="11"/>
  <c r="AK64" i="11"/>
  <c r="AJ64" i="11"/>
  <c r="AI64" i="11"/>
  <c r="AG64" i="11"/>
  <c r="S64" i="11"/>
  <c r="R64" i="11"/>
  <c r="Q64" i="11"/>
  <c r="P64" i="11"/>
  <c r="N64" i="11"/>
  <c r="BE63" i="11"/>
  <c r="BD63" i="11"/>
  <c r="BC63" i="11"/>
  <c r="BB63" i="11"/>
  <c r="AZ63" i="11"/>
  <c r="AL63" i="11"/>
  <c r="AK63" i="11"/>
  <c r="AJ63" i="11"/>
  <c r="AI63" i="11"/>
  <c r="AG63" i="11"/>
  <c r="S63" i="11"/>
  <c r="R63" i="11"/>
  <c r="Q63" i="11"/>
  <c r="P63" i="11"/>
  <c r="N63" i="11"/>
  <c r="BE62" i="11"/>
  <c r="BD62" i="11"/>
  <c r="BC62" i="11"/>
  <c r="BB62" i="11"/>
  <c r="AZ62" i="11"/>
  <c r="AL62" i="11"/>
  <c r="AK62" i="11"/>
  <c r="AJ62" i="11"/>
  <c r="AI62" i="11"/>
  <c r="AG62" i="11"/>
  <c r="S62" i="11"/>
  <c r="R62" i="11"/>
  <c r="Q62" i="11"/>
  <c r="P62" i="11"/>
  <c r="N62" i="11"/>
  <c r="BE61" i="11"/>
  <c r="BD61" i="11"/>
  <c r="BC61" i="11"/>
  <c r="BB61" i="11"/>
  <c r="AZ61" i="11"/>
  <c r="AL61" i="11"/>
  <c r="AK61" i="11"/>
  <c r="AJ61" i="11"/>
  <c r="AI61" i="11"/>
  <c r="AG61" i="11"/>
  <c r="S61" i="11"/>
  <c r="R61" i="11"/>
  <c r="Q61" i="11"/>
  <c r="P61" i="11"/>
  <c r="N61" i="11"/>
  <c r="BE60" i="11"/>
  <c r="BD60" i="11"/>
  <c r="BC60" i="11"/>
  <c r="BB60" i="11"/>
  <c r="AZ60" i="11"/>
  <c r="AL60" i="11"/>
  <c r="AK60" i="11"/>
  <c r="AJ60" i="11"/>
  <c r="AI60" i="11"/>
  <c r="AG60" i="11"/>
  <c r="S60" i="11"/>
  <c r="R60" i="11"/>
  <c r="Q60" i="11"/>
  <c r="P60" i="11"/>
  <c r="N60" i="11"/>
  <c r="BE59" i="11"/>
  <c r="BD59" i="11"/>
  <c r="BC59" i="11"/>
  <c r="BB59" i="11"/>
  <c r="AZ59" i="11"/>
  <c r="AL59" i="11"/>
  <c r="AK59" i="11"/>
  <c r="AJ59" i="11"/>
  <c r="AI59" i="11"/>
  <c r="AG59" i="11"/>
  <c r="S59" i="11"/>
  <c r="R59" i="11"/>
  <c r="Q59" i="11"/>
  <c r="P59" i="11"/>
  <c r="N59" i="11"/>
  <c r="BE58" i="11"/>
  <c r="BD58" i="11"/>
  <c r="BC58" i="11"/>
  <c r="BB58" i="11"/>
  <c r="AZ58" i="11"/>
  <c r="AL58" i="11"/>
  <c r="AK58" i="11"/>
  <c r="AJ58" i="11"/>
  <c r="AI58" i="11"/>
  <c r="AG58" i="11"/>
  <c r="S58" i="11"/>
  <c r="R58" i="11"/>
  <c r="Q58" i="11"/>
  <c r="P58" i="11"/>
  <c r="N58" i="11"/>
  <c r="BE57" i="11"/>
  <c r="BD57" i="11"/>
  <c r="BC57" i="11"/>
  <c r="BB57" i="11"/>
  <c r="AZ57" i="11"/>
  <c r="AL57" i="11"/>
  <c r="AK57" i="11"/>
  <c r="AJ57" i="11"/>
  <c r="AI57" i="11"/>
  <c r="AG57" i="11"/>
  <c r="S57" i="11"/>
  <c r="R57" i="11"/>
  <c r="Q57" i="11"/>
  <c r="P57" i="11"/>
  <c r="N57" i="11"/>
  <c r="BE56" i="11"/>
  <c r="BD56" i="11"/>
  <c r="BC56" i="11"/>
  <c r="BB56" i="11"/>
  <c r="AZ56" i="11"/>
  <c r="AL56" i="11"/>
  <c r="AK56" i="11"/>
  <c r="AJ56" i="11"/>
  <c r="AI56" i="11"/>
  <c r="AG56" i="11"/>
  <c r="S56" i="11"/>
  <c r="R56" i="11"/>
  <c r="Q56" i="11"/>
  <c r="P56" i="11"/>
  <c r="N56" i="11"/>
  <c r="BE55" i="11"/>
  <c r="BD55" i="11"/>
  <c r="BC55" i="11"/>
  <c r="BB55" i="11"/>
  <c r="AZ55" i="11"/>
  <c r="AL55" i="11"/>
  <c r="AK55" i="11"/>
  <c r="AJ55" i="11"/>
  <c r="AI55" i="11"/>
  <c r="AG55" i="11"/>
  <c r="S55" i="11"/>
  <c r="R55" i="11"/>
  <c r="Q55" i="11"/>
  <c r="P55" i="11"/>
  <c r="N55" i="11"/>
  <c r="BE53" i="11"/>
  <c r="BD53" i="11"/>
  <c r="BC53" i="11"/>
  <c r="BB53" i="11"/>
  <c r="AZ53" i="11"/>
  <c r="AL53" i="11"/>
  <c r="AK53" i="11"/>
  <c r="AJ53" i="11"/>
  <c r="AI53" i="11"/>
  <c r="AG53" i="11"/>
  <c r="S53" i="11"/>
  <c r="R53" i="11"/>
  <c r="Q53" i="11"/>
  <c r="P53" i="11"/>
  <c r="N53" i="11"/>
  <c r="BE52" i="11"/>
  <c r="BD52" i="11"/>
  <c r="BC52" i="11"/>
  <c r="BB52" i="11"/>
  <c r="AZ52" i="11"/>
  <c r="AL52" i="11"/>
  <c r="AK52" i="11"/>
  <c r="AJ52" i="11"/>
  <c r="AI52" i="11"/>
  <c r="AG52" i="11"/>
  <c r="S52" i="11"/>
  <c r="R52" i="11"/>
  <c r="Q52" i="11"/>
  <c r="P52" i="11"/>
  <c r="N52" i="11"/>
  <c r="BE51" i="11"/>
  <c r="BD51" i="11"/>
  <c r="BC51" i="11"/>
  <c r="BB51" i="11"/>
  <c r="AZ51" i="11"/>
  <c r="AL51" i="11"/>
  <c r="AK51" i="11"/>
  <c r="AJ51" i="11"/>
  <c r="AI51" i="11"/>
  <c r="AG51" i="11"/>
  <c r="S51" i="11"/>
  <c r="R51" i="11"/>
  <c r="Q51" i="11"/>
  <c r="P51" i="11"/>
  <c r="N51" i="11"/>
  <c r="BE50" i="11"/>
  <c r="BD50" i="11"/>
  <c r="BC50" i="11"/>
  <c r="BB50" i="11"/>
  <c r="AZ50" i="11"/>
  <c r="AL50" i="11"/>
  <c r="AK50" i="11"/>
  <c r="AJ50" i="11"/>
  <c r="AI50" i="11"/>
  <c r="AG50" i="11"/>
  <c r="S50" i="11"/>
  <c r="R50" i="11"/>
  <c r="Q50" i="11"/>
  <c r="P50" i="11"/>
  <c r="N50" i="11"/>
  <c r="BE49" i="11"/>
  <c r="BD49" i="11"/>
  <c r="BC49" i="11"/>
  <c r="BB49" i="11"/>
  <c r="AZ49" i="11"/>
  <c r="AL49" i="11"/>
  <c r="AK49" i="11"/>
  <c r="AJ49" i="11"/>
  <c r="AI49" i="11"/>
  <c r="AG49" i="11"/>
  <c r="S49" i="11"/>
  <c r="R49" i="11"/>
  <c r="Q49" i="11"/>
  <c r="P49" i="11"/>
  <c r="N49" i="11"/>
  <c r="BE48" i="11"/>
  <c r="BD48" i="11"/>
  <c r="BC48" i="11"/>
  <c r="BB48" i="11"/>
  <c r="AZ48" i="11"/>
  <c r="AL48" i="11"/>
  <c r="AK48" i="11"/>
  <c r="AJ48" i="11"/>
  <c r="AI48" i="11"/>
  <c r="AG48" i="11"/>
  <c r="S48" i="11"/>
  <c r="R48" i="11"/>
  <c r="Q48" i="11"/>
  <c r="P48" i="11"/>
  <c r="N48" i="11"/>
  <c r="BE47" i="11"/>
  <c r="BD47" i="11"/>
  <c r="BC47" i="11"/>
  <c r="BB47" i="11"/>
  <c r="AZ47" i="11"/>
  <c r="AL47" i="11"/>
  <c r="AK47" i="11"/>
  <c r="AJ47" i="11"/>
  <c r="AI47" i="11"/>
  <c r="AG47" i="11"/>
  <c r="S47" i="11"/>
  <c r="R47" i="11"/>
  <c r="Q47" i="11"/>
  <c r="P47" i="11"/>
  <c r="N47" i="11"/>
  <c r="BE46" i="11"/>
  <c r="BD46" i="11"/>
  <c r="BC46" i="11"/>
  <c r="BB46" i="11"/>
  <c r="AZ46" i="11"/>
  <c r="AL46" i="11"/>
  <c r="AK46" i="11"/>
  <c r="AJ46" i="11"/>
  <c r="AI46" i="11"/>
  <c r="AG46" i="11"/>
  <c r="S46" i="11"/>
  <c r="R46" i="11"/>
  <c r="Q46" i="11"/>
  <c r="P46" i="11"/>
  <c r="N46" i="11"/>
  <c r="BE45" i="11"/>
  <c r="BD45" i="11"/>
  <c r="BC45" i="11"/>
  <c r="BB45" i="11"/>
  <c r="AZ45" i="11"/>
  <c r="AL45" i="11"/>
  <c r="AK45" i="11"/>
  <c r="AJ45" i="11"/>
  <c r="AI45" i="11"/>
  <c r="AG45" i="11"/>
  <c r="S45" i="11"/>
  <c r="R45" i="11"/>
  <c r="Q45" i="11"/>
  <c r="P45" i="11"/>
  <c r="N45" i="11"/>
  <c r="BE44" i="11"/>
  <c r="BD44" i="11"/>
  <c r="BC44" i="11"/>
  <c r="BB44" i="11"/>
  <c r="AZ44" i="11"/>
  <c r="AL44" i="11"/>
  <c r="AK44" i="11"/>
  <c r="AJ44" i="11"/>
  <c r="AI44" i="11"/>
  <c r="AG44" i="11"/>
  <c r="S44" i="11"/>
  <c r="R44" i="11"/>
  <c r="Q44" i="11"/>
  <c r="P44" i="11"/>
  <c r="N44" i="11"/>
  <c r="BE43" i="11"/>
  <c r="BD43" i="11"/>
  <c r="BC43" i="11"/>
  <c r="BB43" i="11"/>
  <c r="AZ43" i="11"/>
  <c r="AL43" i="11"/>
  <c r="AK43" i="11"/>
  <c r="AJ43" i="11"/>
  <c r="AI43" i="11"/>
  <c r="AG43" i="11"/>
  <c r="S43" i="11"/>
  <c r="R43" i="11"/>
  <c r="Q43" i="11"/>
  <c r="P43" i="11"/>
  <c r="N43" i="11"/>
  <c r="BE42" i="11"/>
  <c r="BD42" i="11"/>
  <c r="BC42" i="11"/>
  <c r="BB42" i="11"/>
  <c r="AZ42" i="11"/>
  <c r="AL42" i="11"/>
  <c r="AK42" i="11"/>
  <c r="AJ42" i="11"/>
  <c r="AI42" i="11"/>
  <c r="AG42" i="11"/>
  <c r="S42" i="11"/>
  <c r="R42" i="11"/>
  <c r="Q42" i="11"/>
  <c r="P42" i="11"/>
  <c r="N42" i="11"/>
  <c r="BE41" i="11"/>
  <c r="BD41" i="11"/>
  <c r="BC41" i="11"/>
  <c r="BB41" i="11"/>
  <c r="AZ41" i="11"/>
  <c r="AL41" i="11"/>
  <c r="AK41" i="11"/>
  <c r="AJ41" i="11"/>
  <c r="AI41" i="11"/>
  <c r="AG41" i="11"/>
  <c r="S41" i="11"/>
  <c r="R41" i="11"/>
  <c r="Q41" i="11"/>
  <c r="P41" i="11"/>
  <c r="N41" i="11"/>
  <c r="BE40" i="11"/>
  <c r="BD40" i="11"/>
  <c r="BC40" i="11"/>
  <c r="BB40" i="11"/>
  <c r="AZ40" i="11"/>
  <c r="AL40" i="11"/>
  <c r="AK40" i="11"/>
  <c r="AJ40" i="11"/>
  <c r="AI40" i="11"/>
  <c r="AG40" i="11"/>
  <c r="S40" i="11"/>
  <c r="R40" i="11"/>
  <c r="Q40" i="11"/>
  <c r="P40" i="11"/>
  <c r="N40" i="11"/>
  <c r="BE39" i="11"/>
  <c r="BD39" i="11"/>
  <c r="BC39" i="11"/>
  <c r="BB39" i="11"/>
  <c r="AZ39" i="11"/>
  <c r="AL39" i="11"/>
  <c r="AK39" i="11"/>
  <c r="AJ39" i="11"/>
  <c r="AI39" i="11"/>
  <c r="AG39" i="11"/>
  <c r="S39" i="11"/>
  <c r="R39" i="11"/>
  <c r="Q39" i="11"/>
  <c r="P39" i="11"/>
  <c r="N39" i="11"/>
  <c r="BE38" i="11"/>
  <c r="BD38" i="11"/>
  <c r="BC38" i="11"/>
  <c r="BB38" i="11"/>
  <c r="AZ38" i="11"/>
  <c r="AL38" i="11"/>
  <c r="AK38" i="11"/>
  <c r="AJ38" i="11"/>
  <c r="AI38" i="11"/>
  <c r="AG38" i="11"/>
  <c r="S38" i="11"/>
  <c r="R38" i="11"/>
  <c r="Q38" i="11"/>
  <c r="P38" i="11"/>
  <c r="N38" i="11"/>
  <c r="BE37" i="11"/>
  <c r="BD37" i="11"/>
  <c r="BC37" i="11"/>
  <c r="BB37" i="11"/>
  <c r="AZ37" i="11"/>
  <c r="AL37" i="11"/>
  <c r="AK37" i="11"/>
  <c r="AJ37" i="11"/>
  <c r="AI37" i="11"/>
  <c r="AG37" i="11"/>
  <c r="S37" i="11"/>
  <c r="R37" i="11"/>
  <c r="Q37" i="11"/>
  <c r="P37" i="11"/>
  <c r="N37" i="11"/>
  <c r="BE36" i="11"/>
  <c r="BD36" i="11"/>
  <c r="BC36" i="11"/>
  <c r="BB36" i="11"/>
  <c r="AZ36" i="11"/>
  <c r="AL36" i="11"/>
  <c r="AK36" i="11"/>
  <c r="AJ36" i="11"/>
  <c r="AI36" i="11"/>
  <c r="AG36" i="11"/>
  <c r="S36" i="11"/>
  <c r="R36" i="11"/>
  <c r="Q36" i="11"/>
  <c r="P36" i="11"/>
  <c r="N36" i="11"/>
  <c r="BE35" i="11"/>
  <c r="BD35" i="11"/>
  <c r="BC35" i="11"/>
  <c r="BB35" i="11"/>
  <c r="AZ35" i="11"/>
  <c r="AL35" i="11"/>
  <c r="AK35" i="11"/>
  <c r="AJ35" i="11"/>
  <c r="AI35" i="11"/>
  <c r="AG35" i="11"/>
  <c r="S35" i="11"/>
  <c r="R35" i="11"/>
  <c r="Q35" i="11"/>
  <c r="P35" i="11"/>
  <c r="N35" i="11"/>
  <c r="BE34" i="11"/>
  <c r="BD34" i="11"/>
  <c r="BC34" i="11"/>
  <c r="BB34" i="11"/>
  <c r="AZ34" i="11"/>
  <c r="AL34" i="11"/>
  <c r="AK34" i="11"/>
  <c r="AJ34" i="11"/>
  <c r="AI34" i="11"/>
  <c r="AG34" i="11"/>
  <c r="S34" i="11"/>
  <c r="R34" i="11"/>
  <c r="Q34" i="11"/>
  <c r="P34" i="11"/>
  <c r="N34" i="11"/>
  <c r="BE33" i="11"/>
  <c r="BD33" i="11"/>
  <c r="BC33" i="11"/>
  <c r="BB33" i="11"/>
  <c r="AZ33" i="11"/>
  <c r="AL33" i="11"/>
  <c r="AK33" i="11"/>
  <c r="AJ33" i="11"/>
  <c r="AI33" i="11"/>
  <c r="AG33" i="11"/>
  <c r="S33" i="11"/>
  <c r="R33" i="11"/>
  <c r="Q33" i="11"/>
  <c r="P33" i="11"/>
  <c r="N33" i="11"/>
  <c r="BE32" i="11"/>
  <c r="BD32" i="11"/>
  <c r="BC32" i="11"/>
  <c r="BB32" i="11"/>
  <c r="AZ32" i="11"/>
  <c r="AL32" i="11"/>
  <c r="AK32" i="11"/>
  <c r="AJ32" i="11"/>
  <c r="AI32" i="11"/>
  <c r="AG32" i="11"/>
  <c r="S32" i="11"/>
  <c r="R32" i="11"/>
  <c r="Q32" i="11"/>
  <c r="P32" i="11"/>
  <c r="N32" i="11"/>
  <c r="BE31" i="11"/>
  <c r="BD31" i="11"/>
  <c r="BC31" i="11"/>
  <c r="BB31" i="11"/>
  <c r="AZ31" i="11"/>
  <c r="AL31" i="11"/>
  <c r="AK31" i="11"/>
  <c r="AJ31" i="11"/>
  <c r="AI31" i="11"/>
  <c r="AG31" i="11"/>
  <c r="S31" i="11"/>
  <c r="R31" i="11"/>
  <c r="Q31" i="11"/>
  <c r="P31" i="11"/>
  <c r="N31" i="11"/>
  <c r="BE30" i="11"/>
  <c r="BD30" i="11"/>
  <c r="BC30" i="11"/>
  <c r="BB30" i="11"/>
  <c r="AZ30" i="11"/>
  <c r="AL30" i="11"/>
  <c r="AK30" i="11"/>
  <c r="AJ30" i="11"/>
  <c r="AI30" i="11"/>
  <c r="AG30" i="11"/>
  <c r="S30" i="11"/>
  <c r="R30" i="11"/>
  <c r="Q30" i="11"/>
  <c r="P30" i="11"/>
  <c r="N30" i="11"/>
  <c r="BE29" i="11"/>
  <c r="BD29" i="11"/>
  <c r="BC29" i="11"/>
  <c r="BB29" i="11"/>
  <c r="AZ29" i="11"/>
  <c r="AL29" i="11"/>
  <c r="AK29" i="11"/>
  <c r="AJ29" i="11"/>
  <c r="AI29" i="11"/>
  <c r="AG29" i="11"/>
  <c r="S29" i="11"/>
  <c r="R29" i="11"/>
  <c r="Q29" i="11"/>
  <c r="P29" i="11"/>
  <c r="N29" i="11"/>
  <c r="BE28" i="11"/>
  <c r="BD28" i="11"/>
  <c r="BC28" i="11"/>
  <c r="BB28" i="11"/>
  <c r="AZ28" i="11"/>
  <c r="AL28" i="11"/>
  <c r="AK28" i="11"/>
  <c r="AJ28" i="11"/>
  <c r="AI28" i="11"/>
  <c r="AG28" i="11"/>
  <c r="S28" i="11"/>
  <c r="R28" i="11"/>
  <c r="Q28" i="11"/>
  <c r="P28" i="11"/>
  <c r="N28" i="11"/>
  <c r="BE27" i="11"/>
  <c r="BD27" i="11"/>
  <c r="BC27" i="11"/>
  <c r="BB27" i="11"/>
  <c r="AZ27" i="11"/>
  <c r="AL27" i="11"/>
  <c r="AK27" i="11"/>
  <c r="AJ27" i="11"/>
  <c r="AI27" i="11"/>
  <c r="AG27" i="11"/>
  <c r="S27" i="11"/>
  <c r="R27" i="11"/>
  <c r="Q27" i="11"/>
  <c r="P27" i="11"/>
  <c r="N27" i="11"/>
  <c r="BE26" i="11"/>
  <c r="BD26" i="11"/>
  <c r="BC26" i="11"/>
  <c r="BB26" i="11"/>
  <c r="AZ26" i="11"/>
  <c r="AL26" i="11"/>
  <c r="AK26" i="11"/>
  <c r="AJ26" i="11"/>
  <c r="AI26" i="11"/>
  <c r="AG26" i="11"/>
  <c r="S26" i="11"/>
  <c r="R26" i="11"/>
  <c r="Q26" i="11"/>
  <c r="P26" i="11"/>
  <c r="N26" i="11"/>
  <c r="BE25" i="11"/>
  <c r="BD25" i="11"/>
  <c r="BC25" i="11"/>
  <c r="BB25" i="11"/>
  <c r="AZ25" i="11"/>
  <c r="AL25" i="11"/>
  <c r="AK25" i="11"/>
  <c r="AJ25" i="11"/>
  <c r="AI25" i="11"/>
  <c r="AG25" i="11"/>
  <c r="S25" i="11"/>
  <c r="R25" i="11"/>
  <c r="Q25" i="11"/>
  <c r="P25" i="11"/>
  <c r="N25" i="11"/>
  <c r="BE24" i="11"/>
  <c r="BD24" i="11"/>
  <c r="BC24" i="11"/>
  <c r="BB24" i="11"/>
  <c r="AZ24" i="11"/>
  <c r="AL24" i="11"/>
  <c r="AK24" i="11"/>
  <c r="AJ24" i="11"/>
  <c r="AI24" i="11"/>
  <c r="AG24" i="11"/>
  <c r="S24" i="11"/>
  <c r="R24" i="11"/>
  <c r="Q24" i="11"/>
  <c r="P24" i="11"/>
  <c r="N24" i="11"/>
  <c r="BE23" i="11"/>
  <c r="BD23" i="11"/>
  <c r="BC23" i="11"/>
  <c r="BB23" i="11"/>
  <c r="AZ23" i="11"/>
  <c r="AL23" i="11"/>
  <c r="AK23" i="11"/>
  <c r="AJ23" i="11"/>
  <c r="AI23" i="11"/>
  <c r="AG23" i="11"/>
  <c r="S23" i="11"/>
  <c r="R23" i="11"/>
  <c r="Q23" i="11"/>
  <c r="P23" i="11"/>
  <c r="N23" i="11"/>
  <c r="BE22" i="11"/>
  <c r="BD22" i="11"/>
  <c r="BC22" i="11"/>
  <c r="BB22" i="11"/>
  <c r="AZ22" i="11"/>
  <c r="AL22" i="11"/>
  <c r="AK22" i="11"/>
  <c r="AJ22" i="11"/>
  <c r="AI22" i="11"/>
  <c r="AG22" i="11"/>
  <c r="S22" i="11"/>
  <c r="R22" i="11"/>
  <c r="Q22" i="11"/>
  <c r="P22" i="11"/>
  <c r="N22" i="11"/>
  <c r="BE21" i="11"/>
  <c r="BD21" i="11"/>
  <c r="BC21" i="11"/>
  <c r="BB21" i="11"/>
  <c r="AZ21" i="11"/>
  <c r="AL21" i="11"/>
  <c r="AK21" i="11"/>
  <c r="AJ21" i="11"/>
  <c r="AI21" i="11"/>
  <c r="AG21" i="11"/>
  <c r="S21" i="11"/>
  <c r="R21" i="11"/>
  <c r="Q21" i="11"/>
  <c r="P21" i="11"/>
  <c r="N21" i="11"/>
  <c r="BE20" i="11"/>
  <c r="BD20" i="11"/>
  <c r="BC20" i="11"/>
  <c r="BB20" i="11"/>
  <c r="AZ20" i="11"/>
  <c r="AL20" i="11"/>
  <c r="AK20" i="11"/>
  <c r="AJ20" i="11"/>
  <c r="AI20" i="11"/>
  <c r="AG20" i="11"/>
  <c r="S20" i="11"/>
  <c r="R20" i="11"/>
  <c r="Q20" i="11"/>
  <c r="P20" i="11"/>
  <c r="N20" i="11"/>
  <c r="BE19" i="11"/>
  <c r="BD19" i="11"/>
  <c r="BC19" i="11"/>
  <c r="BB19" i="11"/>
  <c r="AZ19" i="11"/>
  <c r="AL19" i="11"/>
  <c r="AK19" i="11"/>
  <c r="AJ19" i="11"/>
  <c r="AI19" i="11"/>
  <c r="AG19" i="11"/>
  <c r="S19" i="11"/>
  <c r="R19" i="11"/>
  <c r="Q19" i="11"/>
  <c r="P19" i="11"/>
  <c r="N19" i="11"/>
  <c r="BE18" i="11"/>
  <c r="BD18" i="11"/>
  <c r="BC18" i="11"/>
  <c r="BB18" i="11"/>
  <c r="AZ18" i="11"/>
  <c r="AL18" i="11"/>
  <c r="AK18" i="11"/>
  <c r="AJ18" i="11"/>
  <c r="AI18" i="11"/>
  <c r="AG18" i="11"/>
  <c r="S18" i="11"/>
  <c r="R18" i="11"/>
  <c r="Q18" i="11"/>
  <c r="P18" i="11"/>
  <c r="N18" i="11"/>
  <c r="BE17" i="11"/>
  <c r="BD17" i="11"/>
  <c r="BC17" i="11"/>
  <c r="BB17" i="11"/>
  <c r="AZ17" i="11"/>
  <c r="AL17" i="11"/>
  <c r="AK17" i="11"/>
  <c r="AJ17" i="11"/>
  <c r="AI17" i="11"/>
  <c r="AG17" i="11"/>
  <c r="S17" i="11"/>
  <c r="R17" i="11"/>
  <c r="Q17" i="11"/>
  <c r="P17" i="11"/>
  <c r="N17" i="11"/>
  <c r="BE16" i="11"/>
  <c r="BD16" i="11"/>
  <c r="BC16" i="11"/>
  <c r="BB16" i="11"/>
  <c r="AZ16" i="11"/>
  <c r="AL16" i="11"/>
  <c r="AK16" i="11"/>
  <c r="AJ16" i="11"/>
  <c r="AI16" i="11"/>
  <c r="AG16" i="11"/>
  <c r="S16" i="11"/>
  <c r="R16" i="11"/>
  <c r="Q16" i="11"/>
  <c r="P16" i="11"/>
  <c r="N16" i="11"/>
  <c r="BE15" i="11"/>
  <c r="BD15" i="11"/>
  <c r="BC15" i="11"/>
  <c r="BB15" i="11"/>
  <c r="AZ15" i="11"/>
  <c r="AL15" i="11"/>
  <c r="AK15" i="11"/>
  <c r="AJ15" i="11"/>
  <c r="AI15" i="11"/>
  <c r="AG15" i="11"/>
  <c r="S15" i="11"/>
  <c r="R15" i="11"/>
  <c r="Q15" i="11"/>
  <c r="P15" i="11"/>
  <c r="N15" i="11"/>
  <c r="BE14" i="11"/>
  <c r="BD14" i="11"/>
  <c r="BC14" i="11"/>
  <c r="BB14" i="11"/>
  <c r="AZ14" i="11"/>
  <c r="AL14" i="11"/>
  <c r="AK14" i="11"/>
  <c r="AJ14" i="11"/>
  <c r="AI14" i="11"/>
  <c r="AG14" i="11"/>
  <c r="S14" i="11"/>
  <c r="R14" i="11"/>
  <c r="Q14" i="11"/>
  <c r="P14" i="11"/>
  <c r="N14" i="11"/>
  <c r="BE13" i="11"/>
  <c r="BD13" i="11"/>
  <c r="BC13" i="11"/>
  <c r="BB13" i="11"/>
  <c r="AZ13" i="11"/>
  <c r="AL13" i="11"/>
  <c r="AG13" i="11"/>
  <c r="S13" i="11"/>
  <c r="R13" i="11"/>
  <c r="Q13" i="11"/>
  <c r="P13" i="11"/>
  <c r="N13" i="11"/>
  <c r="BE12" i="11"/>
  <c r="BD12" i="11"/>
  <c r="BC12" i="11"/>
  <c r="BE11" i="11"/>
  <c r="BD11" i="11"/>
  <c r="BC11" i="11"/>
  <c r="BB11" i="11"/>
  <c r="AZ11" i="11"/>
  <c r="AL11" i="11"/>
  <c r="AK11" i="11"/>
  <c r="AJ11" i="11"/>
  <c r="AI11" i="11"/>
  <c r="AG11" i="11"/>
  <c r="S11" i="11"/>
  <c r="R11" i="11"/>
  <c r="Q11" i="11"/>
  <c r="P11" i="11"/>
  <c r="N11" i="11"/>
  <c r="BE10" i="11"/>
  <c r="BD10" i="11"/>
  <c r="BC10" i="11"/>
  <c r="BB10" i="11"/>
  <c r="AZ10" i="11"/>
  <c r="AL10" i="11"/>
  <c r="AK10" i="11"/>
  <c r="AJ10" i="11"/>
  <c r="AI10" i="11"/>
  <c r="AG10" i="11"/>
  <c r="S10" i="11"/>
  <c r="R10" i="11"/>
  <c r="Q10" i="11"/>
  <c r="P10" i="11"/>
  <c r="N10" i="11"/>
  <c r="BE9" i="11"/>
  <c r="BD9" i="11"/>
  <c r="BC9" i="11"/>
  <c r="BB9" i="11"/>
  <c r="AZ9" i="11"/>
  <c r="AL9" i="11"/>
  <c r="AK9" i="11"/>
  <c r="AJ9" i="11"/>
  <c r="AI9" i="11"/>
  <c r="AG9" i="11"/>
  <c r="S9" i="11"/>
  <c r="R9" i="11"/>
  <c r="Q9" i="11"/>
  <c r="P9" i="11"/>
  <c r="N9" i="11"/>
  <c r="BE8" i="11"/>
  <c r="BD8" i="11"/>
  <c r="BC8" i="11"/>
  <c r="BB8" i="11"/>
  <c r="AZ8" i="11"/>
  <c r="AL8" i="11"/>
  <c r="AK8" i="11"/>
  <c r="AJ8" i="11"/>
  <c r="AI8" i="11"/>
  <c r="AG8" i="11"/>
  <c r="S8" i="11"/>
  <c r="R8" i="11"/>
  <c r="Q8" i="11"/>
  <c r="P8" i="11"/>
  <c r="N8" i="11"/>
  <c r="BE7" i="11"/>
  <c r="BD7" i="11"/>
  <c r="BC7" i="11"/>
  <c r="BB7" i="11"/>
  <c r="AZ7" i="11"/>
  <c r="AL7" i="11"/>
  <c r="AK7" i="11"/>
  <c r="AJ7" i="11"/>
  <c r="AI7" i="11"/>
  <c r="AG7" i="11"/>
  <c r="S7" i="11"/>
  <c r="R7" i="11"/>
  <c r="Q7" i="11"/>
  <c r="P7" i="11"/>
  <c r="N7" i="11"/>
  <c r="BE6" i="11"/>
  <c r="BD6" i="11"/>
  <c r="BC6" i="11"/>
  <c r="BB6" i="11"/>
  <c r="AZ6" i="11"/>
  <c r="AL6" i="11"/>
  <c r="AK6" i="11"/>
  <c r="AJ6" i="11"/>
  <c r="AI6" i="11"/>
  <c r="AG6" i="11"/>
  <c r="S6" i="11"/>
  <c r="R6" i="11"/>
  <c r="Q6" i="11"/>
  <c r="P6" i="11"/>
  <c r="N6" i="11"/>
  <c r="F5" i="11"/>
  <c r="AQ120" i="11" l="1"/>
  <c r="BC104" i="11"/>
  <c r="AP120" i="11"/>
  <c r="AZ104" i="11"/>
  <c r="BB104" i="11"/>
  <c r="BB120" i="11" s="1"/>
  <c r="AE120" i="11"/>
  <c r="AB120" i="11"/>
  <c r="AI118" i="11"/>
  <c r="W118" i="11"/>
  <c r="L120" i="11"/>
  <c r="S104" i="11"/>
  <c r="P104" i="11"/>
  <c r="Q104" i="11"/>
  <c r="AK104" i="11"/>
  <c r="AL104" i="11"/>
  <c r="AJ104" i="11"/>
  <c r="N104" i="11"/>
  <c r="AG104" i="11"/>
  <c r="BD117" i="11"/>
  <c r="BE117" i="11"/>
  <c r="BB117" i="11"/>
  <c r="P117" i="11"/>
  <c r="AL117" i="11"/>
  <c r="N117" i="11"/>
  <c r="Q117" i="11"/>
  <c r="R117" i="11"/>
  <c r="S117" i="11"/>
  <c r="AG117" i="11"/>
  <c r="AI117" i="11"/>
  <c r="AJ117" i="11"/>
  <c r="AK117" i="11"/>
  <c r="BC117" i="11"/>
  <c r="BD119" i="11"/>
  <c r="BE119" i="11"/>
  <c r="BE116" i="11"/>
  <c r="BB119" i="11"/>
  <c r="AZ115" i="11"/>
  <c r="AI5" i="11"/>
  <c r="N119" i="11"/>
  <c r="AJ5" i="11"/>
  <c r="F116" i="11"/>
  <c r="N116" i="11" s="1"/>
  <c r="S5" i="11"/>
  <c r="BC116" i="11"/>
  <c r="N89" i="11"/>
  <c r="BC119" i="11"/>
  <c r="BD116" i="11"/>
  <c r="P116" i="11"/>
  <c r="R116" i="11"/>
  <c r="S116" i="11"/>
  <c r="AG116" i="11"/>
  <c r="BB116" i="11"/>
  <c r="R5" i="11"/>
  <c r="AG5" i="11"/>
  <c r="AK5" i="11"/>
  <c r="AL5" i="11"/>
  <c r="AZ5" i="11"/>
  <c r="AZ120" i="11" s="1"/>
  <c r="BC5" i="11"/>
  <c r="BB5" i="11"/>
  <c r="BD5" i="11"/>
  <c r="P5" i="11"/>
  <c r="Q5" i="11"/>
  <c r="BE5" i="11"/>
  <c r="Q116" i="11"/>
  <c r="N91" i="11"/>
  <c r="N5" i="11"/>
  <c r="F115" i="11"/>
  <c r="N115" i="11" s="1"/>
  <c r="BC120" i="11" l="1"/>
  <c r="BC118" i="11"/>
  <c r="BB118" i="11"/>
  <c r="AL118" i="11"/>
  <c r="AL120" i="11"/>
  <c r="AK118" i="11"/>
  <c r="AK120" i="11"/>
  <c r="AJ120" i="11"/>
  <c r="AJ118" i="11"/>
  <c r="AG120" i="11"/>
  <c r="AG118" i="11"/>
  <c r="S120" i="11"/>
  <c r="S118" i="11"/>
  <c r="N118" i="11"/>
  <c r="N120" i="11"/>
  <c r="BC115" i="11"/>
  <c r="AG115" i="11"/>
  <c r="R115" i="11"/>
  <c r="Q115" i="11"/>
  <c r="P115" i="11"/>
  <c r="BD115" i="11"/>
  <c r="BB115" i="11"/>
  <c r="S115" i="11"/>
  <c r="BE115" i="11"/>
  <c r="J5" i="8" l="1"/>
  <c r="B51" i="1" l="1"/>
  <c r="B42" i="1"/>
  <c r="B30" i="1"/>
  <c r="B17" i="1"/>
  <c r="B8" i="1"/>
  <c r="B28" i="1" l="1"/>
  <c r="B60" i="1" s="1"/>
  <c r="B64" i="1"/>
  <c r="B6" i="1"/>
  <c r="B62" i="1" l="1"/>
  <c r="I3" i="10"/>
  <c r="H3" i="10"/>
  <c r="G3" i="10"/>
  <c r="F3" i="10"/>
  <c r="E3" i="10"/>
  <c r="D3" i="10"/>
  <c r="C3" i="10"/>
  <c r="B3" i="10"/>
  <c r="B5" i="8" l="1"/>
  <c r="C5" i="8"/>
  <c r="D5" i="8"/>
  <c r="E5" i="8"/>
  <c r="F5" i="8"/>
  <c r="G5" i="8"/>
  <c r="H5" i="8"/>
  <c r="I5" i="8"/>
  <c r="C51" i="1" l="1"/>
  <c r="C42" i="1"/>
  <c r="C30" i="1"/>
  <c r="C17" i="1"/>
  <c r="C8" i="1" l="1"/>
  <c r="C6" i="1" s="1"/>
  <c r="C28" i="1"/>
  <c r="C60" i="1" s="1"/>
  <c r="C62" i="1" l="1"/>
  <c r="C64" i="1"/>
  <c r="D42" i="1" l="1"/>
  <c r="D51" i="1" l="1"/>
  <c r="D30" i="1"/>
  <c r="D17" i="1"/>
  <c r="D8" i="1"/>
  <c r="D6" i="1" l="1"/>
  <c r="D64" i="1"/>
  <c r="D28" i="1"/>
  <c r="D60" i="1" s="1"/>
  <c r="D62" i="1" l="1"/>
  <c r="B37" i="3"/>
  <c r="C37" i="3"/>
  <c r="D37" i="3"/>
  <c r="E37" i="3"/>
  <c r="B34" i="3"/>
  <c r="C34" i="3"/>
  <c r="D34" i="3"/>
  <c r="E34" i="3"/>
  <c r="F34" i="3"/>
  <c r="G34" i="3"/>
  <c r="H34" i="3"/>
  <c r="F37" i="3"/>
  <c r="G37" i="3"/>
  <c r="H37" i="3"/>
  <c r="I37" i="3"/>
  <c r="J37" i="3"/>
  <c r="K37" i="3"/>
  <c r="L37" i="3"/>
  <c r="I34" i="3"/>
  <c r="J34" i="3"/>
  <c r="K34" i="3"/>
  <c r="L34" i="3"/>
  <c r="M34" i="3"/>
  <c r="M37" i="3"/>
  <c r="M45" i="3"/>
  <c r="L45" i="3"/>
  <c r="K45" i="3"/>
  <c r="J45" i="3"/>
  <c r="I45" i="3"/>
  <c r="H45" i="3"/>
  <c r="G45" i="3"/>
  <c r="F45" i="3"/>
  <c r="E45" i="3"/>
  <c r="D45" i="3"/>
  <c r="C45" i="3"/>
  <c r="B45" i="3"/>
  <c r="M49" i="3" l="1"/>
  <c r="M42" i="3" s="1"/>
  <c r="L49" i="3"/>
  <c r="K49" i="3"/>
  <c r="J49" i="3"/>
  <c r="I49" i="3"/>
  <c r="H49" i="3"/>
  <c r="G49" i="3"/>
  <c r="F49" i="3"/>
  <c r="E49" i="3"/>
  <c r="D49" i="3"/>
  <c r="C49" i="3"/>
  <c r="B49" i="3"/>
  <c r="H17" i="3" l="1"/>
  <c r="F17" i="3"/>
  <c r="C15" i="3"/>
  <c r="B15" i="3"/>
  <c r="M15" i="3"/>
  <c r="M8" i="3" s="1"/>
  <c r="M51" i="3"/>
  <c r="M30" i="3"/>
  <c r="L51" i="3"/>
  <c r="L30" i="3"/>
  <c r="L17" i="3"/>
  <c r="L8" i="3"/>
  <c r="K17" i="3"/>
  <c r="K8" i="3"/>
  <c r="J51" i="3"/>
  <c r="J17" i="3"/>
  <c r="J8" i="3"/>
  <c r="I51" i="3"/>
  <c r="I42" i="3"/>
  <c r="I8" i="3"/>
  <c r="H51" i="3"/>
  <c r="H42" i="3"/>
  <c r="H8" i="3"/>
  <c r="G17" i="3"/>
  <c r="F51" i="3"/>
  <c r="F30" i="3"/>
  <c r="E51" i="3"/>
  <c r="E17" i="3"/>
  <c r="D51" i="3"/>
  <c r="D42" i="3"/>
  <c r="D30" i="3"/>
  <c r="C30" i="3"/>
  <c r="K51" i="3"/>
  <c r="G51" i="3"/>
  <c r="C51" i="3"/>
  <c r="L42" i="3"/>
  <c r="K42" i="3"/>
  <c r="J42" i="3"/>
  <c r="G42" i="3"/>
  <c r="F42" i="3"/>
  <c r="E42" i="3"/>
  <c r="I30" i="3"/>
  <c r="E30" i="3"/>
  <c r="K30" i="3"/>
  <c r="H30" i="3"/>
  <c r="G30" i="3"/>
  <c r="J30" i="3"/>
  <c r="C17" i="3"/>
  <c r="M17" i="3"/>
  <c r="I17" i="3"/>
  <c r="D8" i="3"/>
  <c r="G8" i="3"/>
  <c r="F8" i="3"/>
  <c r="C8" i="3"/>
  <c r="E8" i="3"/>
  <c r="B30" i="3"/>
  <c r="B17" i="3"/>
  <c r="B42" i="3"/>
  <c r="J28" i="3" l="1"/>
  <c r="K28" i="3"/>
  <c r="G28" i="3"/>
  <c r="L28" i="3"/>
  <c r="E28" i="3"/>
  <c r="D28" i="3"/>
  <c r="M28" i="3"/>
  <c r="D17" i="3"/>
  <c r="I28" i="3"/>
  <c r="H28" i="3"/>
  <c r="C42" i="3"/>
  <c r="C28" i="3" s="1"/>
  <c r="F28" i="3"/>
  <c r="B51" i="3"/>
  <c r="B28" i="3"/>
  <c r="M6" i="3" l="1"/>
  <c r="I6" i="3"/>
  <c r="K6" i="3"/>
  <c r="G6" i="3"/>
  <c r="F6" i="3"/>
  <c r="C6" i="3"/>
  <c r="J6" i="3"/>
  <c r="B60" i="3"/>
  <c r="B8" i="3"/>
  <c r="B6" i="3" s="1"/>
  <c r="M62" i="3" l="1"/>
  <c r="B62" i="3"/>
  <c r="D60" i="3"/>
  <c r="E60" i="3"/>
  <c r="I60" i="3"/>
  <c r="I62" i="3" s="1"/>
  <c r="L60" i="3"/>
  <c r="G60" i="3"/>
  <c r="G62" i="3" s="1"/>
  <c r="H60" i="3"/>
  <c r="F60" i="3"/>
  <c r="F62" i="3" s="1"/>
  <c r="J60" i="3"/>
  <c r="J62" i="3" s="1"/>
  <c r="C60" i="3"/>
  <c r="C62" i="3" s="1"/>
  <c r="K60" i="3"/>
  <c r="K62" i="3" s="1"/>
  <c r="M60" i="3"/>
  <c r="D6" i="3"/>
  <c r="H6" i="3"/>
  <c r="L6" i="3"/>
  <c r="E6" i="3"/>
  <c r="E62" i="3" l="1"/>
  <c r="L62" i="3"/>
  <c r="H62" i="3"/>
  <c r="D62" i="3"/>
  <c r="J26" i="1" l="1"/>
  <c r="I26" i="1"/>
  <c r="H26" i="1"/>
  <c r="G15" i="1"/>
  <c r="H15" i="1"/>
  <c r="J35" i="1" l="1"/>
  <c r="F30" i="1"/>
  <c r="E30" i="1"/>
  <c r="H35" i="1"/>
  <c r="G35" i="1"/>
  <c r="G34" i="1" s="1"/>
  <c r="G30" i="1" s="1"/>
  <c r="H34" i="1"/>
  <c r="H30" i="1" s="1"/>
  <c r="I35" i="1" l="1"/>
  <c r="I34" i="1" s="1"/>
  <c r="I30" i="1" s="1"/>
  <c r="J34" i="1"/>
  <c r="I15" i="1" l="1"/>
  <c r="J30" i="1" l="1"/>
  <c r="J8" i="1"/>
  <c r="J64" i="1" l="1"/>
  <c r="J51" i="1"/>
  <c r="I51" i="1"/>
  <c r="H51" i="1"/>
  <c r="G51" i="1"/>
  <c r="H42" i="1"/>
  <c r="G42" i="1"/>
  <c r="J42" i="1"/>
  <c r="I42" i="1"/>
  <c r="H28" i="1"/>
  <c r="J17" i="1"/>
  <c r="I17" i="1"/>
  <c r="H17" i="1"/>
  <c r="G17" i="1"/>
  <c r="H8" i="1"/>
  <c r="H64" i="1" s="1"/>
  <c r="G8" i="1"/>
  <c r="G64" i="1" s="1"/>
  <c r="I8" i="1"/>
  <c r="I64" i="1" s="1"/>
  <c r="H60" i="1" l="1"/>
  <c r="G28" i="1"/>
  <c r="G60" i="1" s="1"/>
  <c r="H6" i="1"/>
  <c r="G6" i="1"/>
  <c r="J28" i="1"/>
  <c r="J60" i="1" s="1"/>
  <c r="I28" i="1"/>
  <c r="I60" i="1" s="1"/>
  <c r="I6" i="1"/>
  <c r="J6" i="1"/>
  <c r="H62" i="1" l="1"/>
  <c r="G62" i="1"/>
  <c r="J62" i="1"/>
  <c r="I62" i="1"/>
  <c r="F51" i="1"/>
  <c r="F42" i="1"/>
  <c r="E42" i="1"/>
  <c r="E8" i="1"/>
  <c r="E64" i="1" s="1"/>
  <c r="E17" i="1"/>
  <c r="F8" i="1"/>
  <c r="F64" i="1" s="1"/>
  <c r="F17" i="1"/>
  <c r="E51" i="1"/>
  <c r="E28" i="1" l="1"/>
  <c r="E6" i="1"/>
  <c r="F28" i="1"/>
  <c r="F6" i="1"/>
  <c r="F60" i="1" l="1"/>
  <c r="F62" i="1" s="1"/>
  <c r="E60" i="1"/>
  <c r="E62" i="1" s="1"/>
</calcChain>
</file>

<file path=xl/comments1.xml><?xml version="1.0" encoding="utf-8"?>
<comments xmlns="http://schemas.openxmlformats.org/spreadsheetml/2006/main">
  <authors>
    <author>tc={7E54E570-A9B6-4B34-96F7-3A3DC05F716B}</author>
    <author>tc={D699E67E-66D7-4698-8301-8EF7DB563EC1}</author>
    <author>LUIS EDWARD NAVARRO FORERO</author>
  </authors>
  <commentList>
    <comment ref="A52" authorId="0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Correspondiente a servicios de implementación de recaudo en los sistemas.</t>
        </r>
      </text>
    </comment>
    <comment ref="A65" authorId="1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Por favor verificar el nombre ya que Estampillas esta en la linea otras contribuciones.</t>
        </r>
      </text>
    </comment>
    <comment ref="A99" authorId="2" shapeId="0">
      <text>
        <r>
          <rPr>
            <b/>
            <sz val="9"/>
            <color indexed="81"/>
            <rFont val="Tahoma"/>
            <family val="2"/>
          </rPr>
          <t>Positivo es Ingreso
Negativo es Gasto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0" authorId="2" shapeId="0">
      <text>
        <r>
          <rPr>
            <b/>
            <sz val="9"/>
            <color indexed="81"/>
            <rFont val="Tahoma"/>
            <family val="2"/>
          </rPr>
          <t xml:space="preserve">Positivo es Ingreso
Negativo es Gasto
</t>
        </r>
      </text>
    </comment>
  </commentList>
</comments>
</file>

<file path=xl/sharedStrings.xml><?xml version="1.0" encoding="utf-8"?>
<sst xmlns="http://schemas.openxmlformats.org/spreadsheetml/2006/main" count="427" uniqueCount="291">
  <si>
    <t>EMPRESA DE TELECOMUNICACIONES DE BOGOTA S.A. E.S.P.</t>
  </si>
  <si>
    <t>ESTADOS DE SITUACION FINANCIERA AÑO 2021</t>
  </si>
  <si>
    <t>CIFRAS EN MILLONES DE PESOS</t>
  </si>
  <si>
    <t>Concepto</t>
  </si>
  <si>
    <t>ACTIVO</t>
  </si>
  <si>
    <t>Corriente</t>
  </si>
  <si>
    <t xml:space="preserve">Efectivo y equivalentes de efectivo </t>
  </si>
  <si>
    <t>Cuentas por cobrar comerciales y otras cuentas por cobrar neto</t>
  </si>
  <si>
    <t xml:space="preserve">Activos clasificados como mantenidos para la venta </t>
  </si>
  <si>
    <t>Otros activos financieros</t>
  </si>
  <si>
    <t xml:space="preserve"> -   </t>
  </si>
  <si>
    <t>Inventarios, neto</t>
  </si>
  <si>
    <t>Activos por impuestos corrientes</t>
  </si>
  <si>
    <t>Otros activos no financieros</t>
  </si>
  <si>
    <t>No Corriente</t>
  </si>
  <si>
    <t>Cuentas por cobrar comerciales y otras cuentas por cobrar, neto</t>
  </si>
  <si>
    <t>Propiedad, planta y equipo, neto</t>
  </si>
  <si>
    <t xml:space="preserve">Activos intangibles </t>
  </si>
  <si>
    <t>Activos por derechos de uso</t>
  </si>
  <si>
    <t>Inversiones en subsidiarias y asociadas</t>
  </si>
  <si>
    <t xml:space="preserve">Inversiones en instrumentos de patrimonio </t>
  </si>
  <si>
    <t>Activos por impuestos diferidos, neto</t>
  </si>
  <si>
    <t xml:space="preserve">Activos contractuales </t>
  </si>
  <si>
    <t>PASIVO</t>
  </si>
  <si>
    <t>Pasivo Corriente</t>
  </si>
  <si>
    <t>Obligaciones Financieras</t>
  </si>
  <si>
    <t xml:space="preserve">Bonos emitidos </t>
  </si>
  <si>
    <t xml:space="preserve">Proveedores  </t>
  </si>
  <si>
    <t xml:space="preserve">Cuentas por pagar </t>
  </si>
  <si>
    <t>Dividendos por pagar</t>
  </si>
  <si>
    <t xml:space="preserve">Pasivo por arrendamiento </t>
  </si>
  <si>
    <t xml:space="preserve">Beneficio empleados </t>
  </si>
  <si>
    <t xml:space="preserve">Pasivos por impuestos corrientes </t>
  </si>
  <si>
    <t xml:space="preserve">Provisiones </t>
  </si>
  <si>
    <t xml:space="preserve">Otros pasivos no financieros </t>
  </si>
  <si>
    <t>Pasivo No Corriente</t>
  </si>
  <si>
    <t>Beneficio empleados</t>
  </si>
  <si>
    <t>PATRIMONIO</t>
  </si>
  <si>
    <t xml:space="preserve">Capital social </t>
  </si>
  <si>
    <t>Prima en colocación de acciones</t>
  </si>
  <si>
    <t>Reservas</t>
  </si>
  <si>
    <t>Adopción por primera vez</t>
  </si>
  <si>
    <t>Pérdidas acumuladas</t>
  </si>
  <si>
    <t>(Pérdida) Utilidad del ejercicio</t>
  </si>
  <si>
    <t>Otro resultado integral acumulado</t>
  </si>
  <si>
    <t>TOTAL PASIVO MAS PATRIMONIO</t>
  </si>
  <si>
    <t xml:space="preserve">ESTADOS DE SITUACION FINANCIERA AL 31 DE DICIEMBRE </t>
  </si>
  <si>
    <t>A JUN 2024</t>
  </si>
  <si>
    <t>CAPITAL DE TRABAJO</t>
  </si>
  <si>
    <t>Cifras expresada en millones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</si>
  <si>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</si>
  <si>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</si>
  <si>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</si>
  <si>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</si>
  <si>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</si>
  <si>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</si>
  <si>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</si>
  <si>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</si>
  <si>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</si>
  <si>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</si>
  <si>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</si>
  <si>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</si>
  <si>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Real 2022</t>
  </si>
  <si>
    <t>Q1</t>
  </si>
  <si>
    <t>Q2</t>
  </si>
  <si>
    <t>Q3</t>
  </si>
  <si>
    <t>Q4</t>
  </si>
  <si>
    <t>Real 2023</t>
  </si>
  <si>
    <t>Real 2024</t>
  </si>
  <si>
    <t>INGRESOS TOTALES</t>
  </si>
  <si>
    <t>Hogares</t>
  </si>
  <si>
    <t>MiPymes</t>
  </si>
  <si>
    <t>Móviles</t>
  </si>
  <si>
    <t>Empresas</t>
  </si>
  <si>
    <t>Ciudades Inteligentes</t>
  </si>
  <si>
    <t>Mayorista</t>
  </si>
  <si>
    <t>Red neutral</t>
  </si>
  <si>
    <t>Centros Digitales</t>
  </si>
  <si>
    <t>Otros Ingresos</t>
  </si>
  <si>
    <t>COSTOS Y GASTOS TOTALES</t>
  </si>
  <si>
    <t>Regulatorios</t>
  </si>
  <si>
    <t>Contribución Fondo Comunicaciones y Otros</t>
  </si>
  <si>
    <t>Ica - Iva prorrateable</t>
  </si>
  <si>
    <t>Comercial</t>
  </si>
  <si>
    <t>Comisiones</t>
  </si>
  <si>
    <t>Publicidad</t>
  </si>
  <si>
    <t>Costo Reventa</t>
  </si>
  <si>
    <t>Trade Marketing</t>
  </si>
  <si>
    <t>Soporte Ventas</t>
  </si>
  <si>
    <t>Terminales</t>
  </si>
  <si>
    <t>Servicio al Cliente</t>
  </si>
  <si>
    <t>Atención Clientes</t>
  </si>
  <si>
    <t>Entrega y Procesamiento Facturas</t>
  </si>
  <si>
    <t>Producción</t>
  </si>
  <si>
    <t>Cargos Acceso</t>
  </si>
  <si>
    <t>Terminación Llamada Internacional</t>
  </si>
  <si>
    <t>Capacidad Internacional y Nacional</t>
  </si>
  <si>
    <t>Ultimas Millas</t>
  </si>
  <si>
    <t>Contenidos</t>
  </si>
  <si>
    <t>Red Móvil 4G LTE y 3G</t>
  </si>
  <si>
    <t>Frecuencias Radioenlaces</t>
  </si>
  <si>
    <t>Mantenimiento Red</t>
  </si>
  <si>
    <t>Mantenimiento Plataformas</t>
  </si>
  <si>
    <t>Alquiler Espacios</t>
  </si>
  <si>
    <t>Arrendamiento Infraestructura</t>
  </si>
  <si>
    <t>Licenciamiento Software</t>
  </si>
  <si>
    <t>Servicio de Energía</t>
  </si>
  <si>
    <t>Soporte Operación</t>
  </si>
  <si>
    <t>Servicios TI</t>
  </si>
  <si>
    <t>Honorarios</t>
  </si>
  <si>
    <t>Outsourcing</t>
  </si>
  <si>
    <t>Otros Gastos</t>
  </si>
  <si>
    <t>Administrativos</t>
  </si>
  <si>
    <t>Honorarios (Casas de Cobro, Admi Activos, …)</t>
  </si>
  <si>
    <t>Asesoría Jurídica</t>
  </si>
  <si>
    <t>Outsourcing (Conductores, Imptos…)</t>
  </si>
  <si>
    <t>Mantenimiento Sedes y Otros</t>
  </si>
  <si>
    <t>Servicios Públicos</t>
  </si>
  <si>
    <t>Seguros</t>
  </si>
  <si>
    <t>Vigilancia</t>
  </si>
  <si>
    <t>Otros Gastos (Cafetería, Papelería, …)</t>
  </si>
  <si>
    <t>Otras Contribuciones (4 por Mil, CRC …)</t>
  </si>
  <si>
    <t>Otros Impuestos (Predial, Vehiculos)</t>
  </si>
  <si>
    <t>Personal</t>
  </si>
  <si>
    <t>Sueldos</t>
  </si>
  <si>
    <t>Prestaciones Legales</t>
  </si>
  <si>
    <t>Prestaciones Extralegales</t>
  </si>
  <si>
    <t>Servicio Médico</t>
  </si>
  <si>
    <t>Otros (Indemnizaciones, Viaticos …)</t>
  </si>
  <si>
    <t>Colegios</t>
  </si>
  <si>
    <t>Club Vacacional</t>
  </si>
  <si>
    <t>Programa Pensional</t>
  </si>
  <si>
    <t>Gastos No Operacionales</t>
  </si>
  <si>
    <t>Otros Gastos no Operacionales</t>
  </si>
  <si>
    <t>Masificación TICS / Portales Interactivos</t>
  </si>
  <si>
    <t>Descuentos Proveedores</t>
  </si>
  <si>
    <t>Descuentos Proveedores_(Ingreso) / Gasto</t>
  </si>
  <si>
    <t>EBITDA</t>
  </si>
  <si>
    <t>Margen EBITDA</t>
  </si>
  <si>
    <t>DEP. AMORT Y DETERIORO</t>
  </si>
  <si>
    <t>Amortización</t>
  </si>
  <si>
    <t>Deterioro Contingencias (ingreso)</t>
  </si>
  <si>
    <t>Deterioro Cartera (ingreso)</t>
  </si>
  <si>
    <t>Deterioro Activos en Bodega (Ingreso)</t>
  </si>
  <si>
    <t>Depreciaciones</t>
  </si>
  <si>
    <t>UTILIDAD (PERDIDA) OPERACIONES RECURRENTES</t>
  </si>
  <si>
    <t>NETO FINANCIERO Y OTROS_Ingreso / (Gasto)</t>
  </si>
  <si>
    <t>Ingresos Financieros</t>
  </si>
  <si>
    <t>Gastos Financieros ()</t>
  </si>
  <si>
    <t>Método de Participación_Ingreso / (Gasto)</t>
  </si>
  <si>
    <t>Diferencia en cambio_Ingreso / (Gasto)</t>
  </si>
  <si>
    <t>UTILIDAD (PERDIDA) ANTES DE IMPUESTOS</t>
  </si>
  <si>
    <t>Provisión Imp. Renta_Ingreso / (Gasto)</t>
  </si>
  <si>
    <t>Recup Impto Diferido_Ingreso / (Gasto)</t>
  </si>
  <si>
    <t>Provisión Renta  - Ingreso / (Gasto)</t>
  </si>
  <si>
    <t>Provisión Cree  - Ingreso / (Gasto)</t>
  </si>
  <si>
    <t>RESULTADO DEL EJERCICIO</t>
  </si>
  <si>
    <t>Otro resultado Integral_Ingreso / (Gasto)</t>
  </si>
  <si>
    <r>
      <t>RESULTADO INTEGRAL EJERCICIO</t>
    </r>
    <r>
      <rPr>
        <b/>
        <sz val="9"/>
        <color theme="0"/>
        <rFont val="Arial"/>
        <family val="2"/>
      </rPr>
      <t>_Utilidad / (Pérdida)</t>
    </r>
  </si>
  <si>
    <t>Ingresos Operacionales COLGAAP</t>
  </si>
  <si>
    <t>Cargo Básico</t>
  </si>
  <si>
    <t>Cargo variable Local</t>
  </si>
  <si>
    <t>Cargo variable larga distancia</t>
  </si>
  <si>
    <t>Cargos de acceso y participaciones</t>
  </si>
  <si>
    <t>Cargo Fijo</t>
  </si>
  <si>
    <t>Cargos por conexión</t>
  </si>
  <si>
    <t>Reconeción y reinstalación</t>
  </si>
  <si>
    <t>Servicios telemáticos y de valor agregado</t>
  </si>
  <si>
    <t>Teléfonos públicos</t>
  </si>
  <si>
    <t>Participaciones - Directorio telefónico</t>
  </si>
  <si>
    <t>Servicios Móviles - voz y datos</t>
  </si>
  <si>
    <t>Servicios de comunicación</t>
  </si>
  <si>
    <t>Diversos</t>
  </si>
  <si>
    <t>Costos y Gastos</t>
  </si>
  <si>
    <t>COSTO DE VENTAS</t>
  </si>
  <si>
    <t>GASTOS OPERACIONALES</t>
  </si>
  <si>
    <t>COSTOS</t>
  </si>
  <si>
    <t xml:space="preserve">Depreciación </t>
  </si>
  <si>
    <t xml:space="preserve">Cargos de acceso  </t>
  </si>
  <si>
    <t xml:space="preserve">Salarios  </t>
  </si>
  <si>
    <t xml:space="preserve">Amortizaciones  </t>
  </si>
  <si>
    <t>Call center y otros</t>
  </si>
  <si>
    <t xml:space="preserve">Mantenimiento, reparaciones y materiales  </t>
  </si>
  <si>
    <t xml:space="preserve">Publicidad y propaganda  </t>
  </si>
  <si>
    <t xml:space="preserve">Alquiler de satélite, frecuencias  </t>
  </si>
  <si>
    <t xml:space="preserve">Aportes parafiscales y seguridad social  </t>
  </si>
  <si>
    <t xml:space="preserve">Prestaciones sociales  </t>
  </si>
  <si>
    <t xml:space="preserve">Otros pagos al personal </t>
  </si>
  <si>
    <t xml:space="preserve">Arrendamientos  </t>
  </si>
  <si>
    <t xml:space="preserve">Servicios públicos  </t>
  </si>
  <si>
    <t xml:space="preserve">Contribuciones  </t>
  </si>
  <si>
    <t xml:space="preserve">Seguros </t>
  </si>
  <si>
    <t xml:space="preserve">Entrega de facturas y procesamiento </t>
  </si>
  <si>
    <t xml:space="preserve">Impuestos  diferentes a renta </t>
  </si>
  <si>
    <t xml:space="preserve">Diversos     </t>
  </si>
  <si>
    <t xml:space="preserve">Vigilancia </t>
  </si>
  <si>
    <t xml:space="preserve">Honorarios y asesorías </t>
  </si>
  <si>
    <t xml:space="preserve">Obras y mejoras en propiedad ajena       </t>
  </si>
  <si>
    <t xml:space="preserve">Impresos y publicaciones  </t>
  </si>
  <si>
    <t>Bienes comercializados</t>
  </si>
  <si>
    <t>Canales y contenidos</t>
  </si>
  <si>
    <t>Comunicaciones</t>
  </si>
  <si>
    <t>Total Costos</t>
  </si>
  <si>
    <t>GASTOS</t>
  </si>
  <si>
    <t>Provisión Contingencias</t>
  </si>
  <si>
    <t>Salarios</t>
  </si>
  <si>
    <t>Aportes parafiscales</t>
  </si>
  <si>
    <t>Impuestos</t>
  </si>
  <si>
    <t>Provisión para cuentas de dudoso recaudo</t>
  </si>
  <si>
    <t>Otros pagos al personal</t>
  </si>
  <si>
    <t>Honorarios y asesorías</t>
  </si>
  <si>
    <t>Depreciación</t>
  </si>
  <si>
    <t>Amortizaciones</t>
  </si>
  <si>
    <t>Otras provisiones</t>
  </si>
  <si>
    <t>Mantenimiento. reparaciones y materiales</t>
  </si>
  <si>
    <t>Prestaciones sociales</t>
  </si>
  <si>
    <t xml:space="preserve">Contribuciones </t>
  </si>
  <si>
    <t>Servicios públicos</t>
  </si>
  <si>
    <t>Arrendamientos</t>
  </si>
  <si>
    <t>Call Center y otros</t>
  </si>
  <si>
    <t>Publicidad y propaganda</t>
  </si>
  <si>
    <t>Comunicaciones y transporte</t>
  </si>
  <si>
    <t xml:space="preserve">Total de gastos operacionales   </t>
  </si>
  <si>
    <t>2024-Sep</t>
  </si>
  <si>
    <t>Venta y prestacion de servicios</t>
  </si>
  <si>
    <t>Conexión</t>
  </si>
  <si>
    <t>Cargo Variable Local</t>
  </si>
  <si>
    <t>Cargo Variable Internet</t>
  </si>
  <si>
    <t>Cargo Variable LDN</t>
  </si>
  <si>
    <t>Cargo Variable LDI</t>
  </si>
  <si>
    <t>Acceso Internet</t>
  </si>
  <si>
    <t>Transferencia de datos y servicio portador</t>
  </si>
  <si>
    <t>Servicios Suplementarios. adicionales y especiales</t>
  </si>
  <si>
    <t>Red Inteligente</t>
  </si>
  <si>
    <t>Servicios Móviles - Voz. Datos</t>
  </si>
  <si>
    <t>Cargos de acceso</t>
  </si>
  <si>
    <t>Ingresos Minutos internacionales</t>
  </si>
  <si>
    <t>Semaforización y otros</t>
  </si>
  <si>
    <t>Servicio de Televisión</t>
  </si>
  <si>
    <t>Venta de bienes Comercializado</t>
  </si>
  <si>
    <t>Partes Relacionadas</t>
  </si>
  <si>
    <t>Descuento en ventas</t>
  </si>
  <si>
    <t>Partes relacionadas</t>
  </si>
  <si>
    <t>Costos y Gastos Recurrentes</t>
  </si>
  <si>
    <t>Mantenimiento y materiales</t>
  </si>
  <si>
    <t>Alquiler</t>
  </si>
  <si>
    <t>Canales y contenidos de televisión</t>
  </si>
  <si>
    <t>Contribuciones</t>
  </si>
  <si>
    <t xml:space="preserve">Publicidad y promoción </t>
  </si>
  <si>
    <t>Arrendamiento</t>
  </si>
  <si>
    <t>Entrega y Procesamiento de Facturas</t>
  </si>
  <si>
    <t>Transporte</t>
  </si>
  <si>
    <t>Desarrollo comunitario y bienestar social</t>
  </si>
  <si>
    <t xml:space="preserve">Otros Gastos </t>
  </si>
  <si>
    <t>Reventa</t>
  </si>
  <si>
    <t>Soporte a ventas</t>
  </si>
  <si>
    <t>Descuentos pronto pagos</t>
  </si>
  <si>
    <t>Deterioro</t>
  </si>
  <si>
    <t xml:space="preserve">   Contingencias</t>
  </si>
  <si>
    <t xml:space="preserve">   Deudores</t>
  </si>
  <si>
    <t xml:space="preserve">   Inventario</t>
  </si>
  <si>
    <t xml:space="preserve">   PPyE</t>
  </si>
  <si>
    <t xml:space="preserve">   Activos mantenidos para la venta</t>
  </si>
  <si>
    <t>Intangibles</t>
  </si>
  <si>
    <t xml:space="preserve">   Desmantelamiento</t>
  </si>
  <si>
    <t xml:space="preserve">   Otros</t>
  </si>
  <si>
    <t xml:space="preserve">Ingresos Operacionales NIIF </t>
  </si>
  <si>
    <t>Costos y Gastos COLGAAP</t>
  </si>
  <si>
    <t xml:space="preserve">Costos y Gastos  NIIF </t>
  </si>
  <si>
    <t>Otros ingresos</t>
  </si>
  <si>
    <t>COSTOS Y GASTOS RECURRENTES</t>
  </si>
  <si>
    <t>Utilidad antes de depreciaciones, amortizaciones y deterioro.</t>
  </si>
  <si>
    <t>Depreciaciones y Amortizaciones</t>
  </si>
  <si>
    <t>Provisión contingencias (Ingreso)</t>
  </si>
  <si>
    <t>Deterioro y provisiones</t>
  </si>
  <si>
    <t>UTILIDAD (PERDIDA) OPERACIONAL</t>
  </si>
  <si>
    <t>Gastos Financieros (Neto)</t>
  </si>
  <si>
    <t>Diferencia en Cambio  (Ingreso)</t>
  </si>
  <si>
    <t>Participación en las ganancias de las asociadas</t>
  </si>
  <si>
    <t>Ingresos Operacionales</t>
  </si>
  <si>
    <t>GANANCIA BRUTA</t>
  </si>
  <si>
    <t>GANANCIA OPERACIONAL</t>
  </si>
  <si>
    <t>Pensiones de jubilación</t>
  </si>
  <si>
    <t>Otros ingresos (egresos), neto</t>
  </si>
  <si>
    <t>Corrección monetaria, ingreso</t>
  </si>
  <si>
    <t xml:space="preserve">   GANANCIA ANTES DE LA PROV IMPTO SOBRE LA RENTA</t>
  </si>
  <si>
    <t>Impuesto sobre la renta corriente</t>
  </si>
  <si>
    <t>Impuesto sobre la renta diferido, neto</t>
  </si>
  <si>
    <t>Impuesto sobre la renta para la equidad CREE</t>
  </si>
  <si>
    <t xml:space="preserve">   GANANCIA NETA</t>
  </si>
  <si>
    <t>2024 -SEP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</si>
</sst>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0">
    <numFmt numFmtId="5" formatCode="&quot;$&quot;\ #,##0;\-&quot;$&quot;\ #,##0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_ * #,##0.0_)_P_t_s_ ;_ * \(#,##0.0\)_P_t_s_ ;_ * &quot;-&quot;??_)_P_t_s_ ;_ @_ "/>
    <numFmt numFmtId="167" formatCode="#,##0\ "/>
    <numFmt numFmtId="168" formatCode="#,##0.000"/>
    <numFmt numFmtId="169" formatCode="_(* #,##0_);_(* \(#,##0\);_(* \-??_);_(@_)"/>
    <numFmt numFmtId="170" formatCode="_._.&quot;$&quot;* #,##0_)_%;_._.&quot;$&quot;* \(#,##0\)_%;_._.&quot;$&quot;* 0_)_%;_._.@_)_%"/>
    <numFmt numFmtId="171" formatCode="_._.&quot;$&quot;* #,###\-_)_%;_._.&quot;$&quot;* \(#,###\-\)_%;_._.&quot;$&quot;* \-_)_%;_._.@_)_%"/>
    <numFmt numFmtId="172" formatCode="&quot;$&quot;#,##0.0_);\(&quot;$&quot;#,##0.0\)"/>
    <numFmt numFmtId="173" formatCode="_ * #,##0.00_ ;_ * \-#,##0.00_ ;_ * &quot;-&quot;??_ ;_ @_ "/>
    <numFmt numFmtId="174" formatCode="#,##0.0_);\(#,##0.0\)"/>
    <numFmt numFmtId="175" formatCode="0.00;[Red]0.00"/>
    <numFmt numFmtId="176" formatCode="00000000"/>
    <numFmt numFmtId="177" formatCode="&quot;     &quot;General&quot;     &quot;"/>
    <numFmt numFmtId="178" formatCode="_-* #,##0\ _z_ł_-;\-* #,##0\ _z_ł_-;_-* &quot;-&quot;\ _z_ł_-;_-@_-"/>
    <numFmt numFmtId="179" formatCode="#,##0.0;[Red]\-#,##0.0"/>
    <numFmt numFmtId="180" formatCode="_._.* #,##0.0_)_%;_._.* \(#,##0.0\)_%;_._.* \ .0_)_%"/>
    <numFmt numFmtId="181" formatCode="_._.* #,##0.00_)_%;_._.* \(#,##0.00\)_%;_._.* \ .00_)_%"/>
    <numFmt numFmtId="182" formatCode="_._.* #,##0.000_)_%;_._.* \(#,##0.000\)_%;_._.* \ .000_)_%"/>
    <numFmt numFmtId="183" formatCode="&quot;Pts&quot;\ #,##0.00;[Red]&quot;Pts&quot;\ \-#,##0.00"/>
    <numFmt numFmtId="184" formatCode="_-* #,##0.00\ _z_ł_-;\-* #,##0.00\ _z_ł_-;_-* &quot;-&quot;??\ _z_ł_-;_-@_-"/>
    <numFmt numFmtId="185" formatCode="_-* #,##0.00\ _P_t_s_-;\-* #,##0.00\ _P_t_s_-;_-* &quot;-&quot;??\ _P_t_s_-;_-@_-"/>
    <numFmt numFmtId="186" formatCode="_ &quot;$&quot;\ * #,##0.00_ ;_ &quot;$&quot;\ * \-#,##0.00_ ;_ &quot;$&quot;\ * &quot;-&quot;??_ ;_ @_ "/>
    <numFmt numFmtId="187" formatCode="_ * #,##0.0_ ;_ * \-#,##0.0_ ;_ * \-??_ ;_ @_ "/>
    <numFmt numFmtId="188" formatCode="_._.&quot;$&quot;* #,##0.0_)_%;_._.&quot;$&quot;* \(#,##0.0\)_%;_._.&quot;$&quot;* \ .0_)_%"/>
    <numFmt numFmtId="189" formatCode="_._.&quot;$&quot;* #,##0.00_)_%;_._.&quot;$&quot;* \(#,##0.00\)_%;_._.&quot;$&quot;* \ .00_)_%"/>
    <numFmt numFmtId="190" formatCode="_._.&quot;$&quot;* #,##0.000_)_%;_._.&quot;$&quot;* \(#,##0.000\)_%;_._.&quot;$&quot;* \ .000_)_%"/>
    <numFmt numFmtId="191" formatCode="#,##0;[Red]\(#,##0\)"/>
    <numFmt numFmtId="192" formatCode="&quot;$&quot;#,##0\ ;\(&quot;$&quot;#,##0\)"/>
    <numFmt numFmtId="193" formatCode="mmmm\ d\,\ yyyy"/>
    <numFmt numFmtId="194" formatCode="_-* #,##0.00\ [$€]_-;\-* #,##0.00\ [$€]_-;_-* \-??\ [$€]_-;_-@_-"/>
    <numFmt numFmtId="195" formatCode="_ [$€-2]\ * #,##0.00_ ;_ [$€-2]\ * \-#,##0.00_ ;_ [$€-2]\ * &quot;-&quot;??_ "/>
    <numFmt numFmtId="196" formatCode="####"/>
    <numFmt numFmtId="197" formatCode="0.0%"/>
    <numFmt numFmtId="198" formatCode="_._.* #,##0_)_%;_._.* \(#,##0\)_%;_._.* \ _)_%"/>
    <numFmt numFmtId="199" formatCode="&quot;Mo. &quot;0;&quot;Mo. &quot;\-0"/>
    <numFmt numFmtId="200" formatCode="_(* #,##0.00_);_(* \(#,##0.00\);_(* \-??_);_(@_)"/>
    <numFmt numFmtId="201" formatCode="dd/mm/yyyy;@"/>
    <numFmt numFmtId="202" formatCode="#,##0_ ;[Red]\(#,##0\)\ "/>
    <numFmt numFmtId="203" formatCode="_-* #,##0.00_-;_-* #,##0.00\-;_-* &quot;-&quot;??_-;_-@_-"/>
    <numFmt numFmtId="204" formatCode="_(* #,##0_);_(* \(#,##0\);_(* \-_);_(@_)"/>
    <numFmt numFmtId="205" formatCode="_(0.00_)%;\(0.00\)%"/>
    <numFmt numFmtId="206" formatCode="0_);\(0\)"/>
    <numFmt numFmtId="207" formatCode="_-* #,##0.00_-;\-* #,##0.00_-;_-* \-??_-;_-@_-"/>
    <numFmt numFmtId="208" formatCode="d&quot; de &quot;mmmm&quot; de &quot;yyyy;@"/>
    <numFmt numFmtId="209" formatCode="#,##0_$"/>
    <numFmt numFmtId="210" formatCode="_(* #0.00%_);_(* \(#0.00%\);_(* &quot;-&quot;??_);_(@_)"/>
    <numFmt numFmtId="211" formatCode="_ * #,##0_ ;_ * \-#,##0_ ;_ * &quot;-&quot;??_ ;_ @_ "/>
    <numFmt numFmtId="212" formatCode="0.000000"/>
    <numFmt numFmtId="213" formatCode="mm/yy"/>
    <numFmt numFmtId="214" formatCode="_ * #,##0.00_ ;_ * \-#,##0.00_ ;_ * \-??_ ;_ @_ "/>
    <numFmt numFmtId="215" formatCode="&quot;$&quot;\ #,##0;&quot;$&quot;\ \-#,##0"/>
    <numFmt numFmtId="216" formatCode="0_)"/>
    <numFmt numFmtId="217" formatCode="#,##0.00_ ;\-#,##0.00\ "/>
    <numFmt numFmtId="218" formatCode="[$-F800]dddd\,\ mmmm\ dd\,\ yyyy"/>
    <numFmt numFmtId="219" formatCode="_(* #,##0.000_);_(* \(#,##0.000\);_(* \ .000_)"/>
    <numFmt numFmtId="220" formatCode="_(0.0_)%;\(0.0\)%"/>
    <numFmt numFmtId="221" formatCode="_(* #,##0.00%_);_(* \(#,##0.00%\);_(* &quot;-&quot;_);_(@_)"/>
    <numFmt numFmtId="222" formatCode="_(* #,##0.0000_);_(* \(#,##0.0000\);_(* &quot;-&quot;_);_(@_)"/>
    <numFmt numFmtId="223" formatCode="_(&quot;$&quot;\ * #,##0_);_(&quot;$&quot;\ * \(#,##0\);_(&quot;$&quot;\ * &quot;-&quot;??_);_(@_)"/>
    <numFmt numFmtId="224" formatCode="_ * #,##0_ ;_ * \-#,##0_ ;_ * \-??_ ;_ @_ "/>
    <numFmt numFmtId="225" formatCode="&quot;$&quot;\ #,##0.00;[Red]&quot;$&quot;\ \-#,##0.00"/>
    <numFmt numFmtId="226" formatCode="#,##0_ ;[Red]\-#,##0\ "/>
    <numFmt numFmtId="227" formatCode="_ * #,##0_ ;_ * \-#,##0_ ;_ * &quot;-&quot;_ ;_ @_ "/>
    <numFmt numFmtId="228" formatCode="0.0000%"/>
    <numFmt numFmtId="229" formatCode="_(* #,##0_);_(* \(#,##0\);_(* \ _)"/>
    <numFmt numFmtId="230" formatCode="_(* #,##0_);_(* \(#,##0\);_(* &quot; &quot;??_);_(@_)"/>
    <numFmt numFmtId="231" formatCode="_(&quot;R$&quot;* #,##0_);_(&quot;R$&quot;* \(#,##0\);_(&quot;R$&quot;* &quot;-&quot;_);_(@_)"/>
    <numFmt numFmtId="232" formatCode="_(&quot;R$&quot;* #,##0.00_);_(&quot;R$&quot;* \(#,##0.00\);_(&quot;R$&quot;* &quot;-&quot;??_);_(@_)"/>
    <numFmt numFmtId="233" formatCode="_(&quot;$&quot;\ * #,##0.00_);_(&quot;$&quot;\ * \(#,##0.00\);_(&quot;$&quot;\ * &quot;-&quot;??_);_(@_)"/>
    <numFmt numFmtId="234" formatCode="_._.&quot;$&quot;* #,##0_)_%;_._.&quot;$&quot;* \(#,##0\)_%;_._.&quot;$&quot;* \ _)_%"/>
    <numFmt numFmtId="235" formatCode="_(&quot;N$&quot;* #,##0.00_);_(&quot;N$&quot;* \(#,##0.00\);_(&quot;N$&quot;* &quot;-&quot;??_);_(@_)"/>
    <numFmt numFmtId="236" formatCode="0.0"/>
    <numFmt numFmtId="237" formatCode="_(0_)%;\(0\)%;\ \ _)\%"/>
    <numFmt numFmtId="238" formatCode="_._._(* 0_)%;_._.\(* 0\)%;_._._(* \ _)\%"/>
    <numFmt numFmtId="239" formatCode="_(0_)%;\(0\)%"/>
    <numFmt numFmtId="240" formatCode="0%_);\(0%\)"/>
    <numFmt numFmtId="241" formatCode="_(0.0_)%;\(0.0\)%;\ \ .0_)%"/>
    <numFmt numFmtId="242" formatCode="_._._(* 0.0_)%;_._.\(* 0.0\)%;_._._(* \ .0_)%"/>
    <numFmt numFmtId="243" formatCode="_(0.00_)%;\(0.00\)%;\ \ .00_)%"/>
    <numFmt numFmtId="244" formatCode="_._._(* 0.00_)%;_._.\(* 0.00\)%;_._._(* \ .00_)%"/>
    <numFmt numFmtId="245" formatCode="_(0.000_)%;\(0.000\)%;\ \ .000_)%"/>
    <numFmt numFmtId="246" formatCode="_._._(* 0.000_)%;_._.\(* 0.000\)%;_._._(* \ .000_)%"/>
    <numFmt numFmtId="247" formatCode="_(0.000_)%;\(0.000\)%"/>
    <numFmt numFmtId="248" formatCode="_-&quot;L.&quot;\ * #,##0_-;\-&quot;L.&quot;\ * #,##0_-;_-&quot;L.&quot;\ * &quot;-&quot;_-;_-@_-"/>
    <numFmt numFmtId="249" formatCode="_(* #,##0&quot; pta&quot;_);_(* \(#,##0&quot; pta)&quot;;_(* \-??&quot; pta&quot;_);_(@_)"/>
    <numFmt numFmtId="250" formatCode="_(* #,##0.0_);_(* \(#,##0.0\);_(* \ .0_)"/>
    <numFmt numFmtId="251" formatCode="_(* #,##0.00_);_(* \(#,##0.00\);_(* \ .00_)"/>
    <numFmt numFmtId="252" formatCode="_(* #,##0_);_(* \(#,##0\);_(* 0_);_(@_)"/>
    <numFmt numFmtId="253" formatCode="_(&quot;$&quot;* #,##0_);_(&quot;$&quot;* \(#,##0\);_(&quot;$&quot;* \ _)"/>
    <numFmt numFmtId="254" formatCode="_(&quot;$&quot;* #,##0.0_);_(&quot;$&quot;* \(#,##0.0\);_(&quot;$&quot;* \ .0_)"/>
    <numFmt numFmtId="255" formatCode="_(&quot;$&quot;* #,##0.00_);_(&quot;$&quot;* \(#,##0.00\);_(&quot;$&quot;* \ .00_)"/>
    <numFmt numFmtId="256" formatCode="_(&quot;$&quot;* #,##0.000_);_(&quot;$&quot;* \(#,##0.000\);_(&quot;$&quot;* \ .000_)"/>
    <numFmt numFmtId="257" formatCode="_(&quot;$&quot;* #,##0_);_(&quot;$&quot;* \(#,##0\);_(&quot;$&quot;* 0_);_(@_)"/>
    <numFmt numFmtId="258" formatCode="_-* #,##0_-;\-* #,##0_-;_-* &quot;-&quot;??_-;_-@_-"/>
    <numFmt numFmtId="259" formatCode="#,##0;\-#,##0;&quot; &quot;"/>
  </numFmts>
  <fonts count="10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color theme="1"/>
      <name val="Arial"/>
      <family val="2"/>
    </font>
    <font>
      <b/>
      <sz val="14"/>
      <name val="Arial"/>
      <family val="2"/>
    </font>
    <font>
      <sz val="10"/>
      <name val="Times New Roman"/>
      <family val="1"/>
    </font>
    <font>
      <b/>
      <sz val="12"/>
      <name val="Arial"/>
      <family val="2"/>
    </font>
    <font>
      <b/>
      <sz val="11"/>
      <name val="Arial"/>
      <family val="2"/>
    </font>
    <font>
      <sz val="12"/>
      <color theme="1"/>
      <name val="Arial"/>
      <family val="2"/>
    </font>
    <font>
      <sz val="12"/>
      <color theme="0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sz val="12"/>
      <color rgb="FF000000"/>
      <name val="Arial"/>
      <family val="2"/>
    </font>
    <font>
      <b/>
      <sz val="9"/>
      <color theme="0"/>
      <name val="Arial"/>
      <family val="2"/>
    </font>
    <font>
      <sz val="12"/>
      <name val="Arial"/>
      <family val="2"/>
    </font>
    <font>
      <sz val="10"/>
      <color theme="1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2"/>
      <color rgb="FFFFFFFF"/>
      <name val="Arial"/>
      <family val="2"/>
    </font>
    <font>
      <b/>
      <sz val="12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2"/>
      <name val="Times New Roman"/>
      <family val="1"/>
    </font>
    <font>
      <u val="doubleAccounting"/>
      <sz val="12"/>
      <name val="Times New Roman"/>
      <family val="1"/>
    </font>
    <font>
      <sz val="10"/>
      <name val="Geneva"/>
      <family val="2"/>
    </font>
    <font>
      <sz val="10"/>
      <color indexed="8"/>
      <name val="Arial"/>
      <family val="2"/>
    </font>
    <font>
      <sz val="8"/>
      <name val="Antique Olive"/>
      <family val="2"/>
    </font>
    <font>
      <sz val="8"/>
      <name val="Geneva"/>
      <family val="2"/>
    </font>
    <font>
      <sz val="11"/>
      <color indexed="8"/>
      <name val="Calibri"/>
      <family val="2"/>
    </font>
    <font>
      <sz val="11"/>
      <color indexed="8"/>
      <name val="Czcionka tekstu podstawowego"/>
      <family val="2"/>
      <charset val="238"/>
    </font>
    <font>
      <sz val="11"/>
      <color indexed="22"/>
      <name val="Calibri"/>
      <family val="2"/>
    </font>
    <font>
      <sz val="11"/>
      <color indexed="23"/>
      <name val="Calibri"/>
      <family val="2"/>
    </font>
    <font>
      <sz val="11"/>
      <color indexed="9"/>
      <name val="Calibri"/>
      <family val="2"/>
    </font>
    <font>
      <sz val="11"/>
      <color indexed="9"/>
      <name val="Czcionka tekstu podstawowego"/>
      <family val="2"/>
      <charset val="238"/>
    </font>
    <font>
      <sz val="11"/>
      <color indexed="35"/>
      <name val="Calibri"/>
      <family val="2"/>
    </font>
    <font>
      <b/>
      <u/>
      <sz val="10"/>
      <name val="Times New Roman"/>
      <family val="1"/>
    </font>
    <font>
      <sz val="10"/>
      <color indexed="12"/>
      <name val="Times New Roman"/>
      <family val="1"/>
    </font>
    <font>
      <sz val="11"/>
      <color indexed="20"/>
      <name val="Calibri"/>
      <family val="2"/>
    </font>
    <font>
      <sz val="11"/>
      <color indexed="15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35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name val="Arial"/>
      <family val="2"/>
    </font>
    <font>
      <sz val="8"/>
      <name val="Arial"/>
      <family val="2"/>
    </font>
    <font>
      <u val="singleAccounting"/>
      <sz val="10"/>
      <name val="Times New Roman"/>
      <family val="1"/>
    </font>
    <font>
      <u val="singleAccounting"/>
      <sz val="11"/>
      <name val="Times New Roman"/>
      <family val="1"/>
    </font>
    <font>
      <sz val="11"/>
      <name val="Times New Roman"/>
      <family val="1"/>
    </font>
    <font>
      <sz val="10"/>
      <color indexed="24"/>
      <name val="Arial"/>
      <family val="2"/>
    </font>
    <font>
      <sz val="10"/>
      <name val="BERNHARD"/>
    </font>
    <font>
      <sz val="10"/>
      <color indexed="15"/>
      <name val="Helv"/>
    </font>
    <font>
      <b/>
      <sz val="13"/>
      <name val="Arial"/>
      <family val="2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0"/>
      <name val="StoneSerif"/>
    </font>
    <font>
      <sz val="11"/>
      <color indexed="17"/>
      <name val="Czcionka tekstu podstawowego"/>
      <family val="2"/>
      <charset val="238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62"/>
      <name val="Calibri"/>
      <family val="2"/>
    </font>
    <font>
      <sz val="11"/>
      <color indexed="54"/>
      <name val="Calibri"/>
      <family val="2"/>
    </font>
    <font>
      <b/>
      <sz val="9.5"/>
      <color indexed="10"/>
      <name val="MS Sans Serif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1"/>
      <color indexed="24"/>
      <name val="Calibri"/>
      <family val="2"/>
    </font>
    <font>
      <sz val="11"/>
      <color indexed="63"/>
      <name val="Calibri"/>
      <family val="2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 val="singleAccounting"/>
      <sz val="12"/>
      <name val="Times New Roman CE"/>
      <family val="1"/>
      <charset val="238"/>
    </font>
    <font>
      <sz val="10"/>
      <name val="MS Sans Serif"/>
      <family val="2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</font>
    <font>
      <sz val="11"/>
      <color indexed="19"/>
      <name val="Calibri"/>
      <family val="2"/>
    </font>
    <font>
      <sz val="11"/>
      <color indexed="60"/>
      <name val="Czcionka tekstu podstawowego"/>
      <family val="2"/>
      <charset val="238"/>
    </font>
    <font>
      <sz val="10"/>
      <name val="Courier"/>
      <family val="3"/>
    </font>
    <font>
      <b/>
      <i/>
      <sz val="16"/>
      <name val="Helv"/>
      <family val="2"/>
    </font>
    <font>
      <b/>
      <sz val="11"/>
      <color indexed="52"/>
      <name val="Czcionka tekstu podstawowego"/>
      <family val="2"/>
      <charset val="238"/>
    </font>
    <font>
      <b/>
      <sz val="11"/>
      <color indexed="63"/>
      <name val="Calibri"/>
      <family val="2"/>
    </font>
    <font>
      <b/>
      <sz val="11"/>
      <color indexed="23"/>
      <name val="Calibri"/>
      <family val="2"/>
    </font>
    <font>
      <b/>
      <sz val="10"/>
      <name val="Times New Roman"/>
      <family val="1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indexed="10"/>
      <name val="Calibri"/>
      <family val="2"/>
    </font>
    <font>
      <i/>
      <sz val="11"/>
      <color indexed="34"/>
      <name val="Calibri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</font>
    <font>
      <b/>
      <sz val="15"/>
      <color indexed="8"/>
      <name val="Calibri"/>
      <family val="2"/>
    </font>
    <font>
      <b/>
      <sz val="13"/>
      <color indexed="8"/>
      <name val="Calibri"/>
      <family val="2"/>
    </font>
    <font>
      <b/>
      <sz val="18"/>
      <color indexed="8"/>
      <name val="Cambria"/>
      <family val="2"/>
    </font>
    <font>
      <b/>
      <sz val="11"/>
      <color indexed="22"/>
      <name val="Calibri"/>
      <family val="2"/>
    </font>
    <font>
      <b/>
      <sz val="18"/>
      <color indexed="56"/>
      <name val="Cambria"/>
      <family val="2"/>
      <charset val="238"/>
    </font>
    <font>
      <sz val="10"/>
      <name val="Tahoma"/>
      <family val="2"/>
    </font>
    <font>
      <b/>
      <sz val="8"/>
      <name val="Arial"/>
      <family val="2"/>
    </font>
    <font>
      <sz val="11"/>
      <color indexed="20"/>
      <name val="Czcionka tekstu podstawowego"/>
      <family val="2"/>
      <charset val="238"/>
    </font>
    <font>
      <sz val="10"/>
      <color theme="1"/>
      <name val="Calibri Light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  <font>
      <sz val="12"/>
      <color theme="1"/>
      <name val="Calibri"/>
      <family val="2"/>
      <scheme val="minor"/>
    </font>
  </fonts>
  <fills count="80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59"/>
      </patternFill>
    </fill>
    <fill>
      <patternFill patternType="solid">
        <fgColor indexed="45"/>
        <bgColor indexed="19"/>
      </patternFill>
    </fill>
    <fill>
      <patternFill patternType="solid">
        <fgColor indexed="42"/>
        <bgColor indexed="11"/>
      </patternFill>
    </fill>
    <fill>
      <patternFill patternType="solid">
        <fgColor indexed="26"/>
      </patternFill>
    </fill>
    <fill>
      <patternFill patternType="solid">
        <fgColor indexed="46"/>
        <bgColor indexed="45"/>
      </patternFill>
    </fill>
    <fill>
      <patternFill patternType="solid">
        <fgColor indexed="9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3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24"/>
      </patternFill>
    </fill>
    <fill>
      <patternFill patternType="solid">
        <fgColor indexed="29"/>
        <bgColor indexed="61"/>
      </patternFill>
    </fill>
    <fill>
      <patternFill patternType="solid">
        <fgColor indexed="21"/>
        <bgColor indexed="26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  <bgColor indexed="3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38"/>
      </patternFill>
    </fill>
    <fill>
      <patternFill patternType="solid">
        <fgColor indexed="56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15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61"/>
        <bgColor indexed="29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62"/>
        <bgColor indexed="56"/>
      </patternFill>
    </fill>
    <fill>
      <patternFill patternType="solid">
        <fgColor indexed="16"/>
      </patternFill>
    </fill>
    <fill>
      <patternFill patternType="solid">
        <fgColor indexed="9"/>
        <bgColor indexed="41"/>
      </patternFill>
    </fill>
    <fill>
      <patternFill patternType="solid">
        <fgColor indexed="57"/>
        <bgColor indexed="38"/>
      </patternFill>
    </fill>
    <fill>
      <patternFill patternType="solid">
        <fgColor indexed="54"/>
      </patternFill>
    </fill>
    <fill>
      <patternFill patternType="solid">
        <fgColor indexed="53"/>
        <bgColor indexed="61"/>
      </patternFill>
    </fill>
    <fill>
      <patternFill patternType="solid">
        <fgColor indexed="18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21"/>
      </patternFill>
    </fill>
    <fill>
      <patternFill patternType="solid">
        <fgColor indexed="26"/>
        <bgColor indexed="21"/>
      </patternFill>
    </fill>
    <fill>
      <patternFill patternType="mediumGray">
        <fgColor indexed="22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34"/>
      </left>
      <right style="thin">
        <color indexed="34"/>
      </right>
      <top style="thin">
        <color indexed="34"/>
      </top>
      <bottom style="thin">
        <color indexed="3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23"/>
      </left>
      <right style="double">
        <color indexed="23"/>
      </right>
      <top style="double">
        <color indexed="23"/>
      </top>
      <bottom style="double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1"/>
      </left>
      <right style="thin">
        <color indexed="61"/>
      </right>
      <top style="thin">
        <color indexed="61"/>
      </top>
      <bottom style="thin">
        <color indexed="6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16"/>
      </bottom>
      <diagonal/>
    </border>
    <border>
      <left/>
      <right/>
      <top/>
      <bottom style="thick">
        <color indexed="61"/>
      </bottom>
      <diagonal/>
    </border>
    <border>
      <left/>
      <right/>
      <top/>
      <bottom style="thick">
        <color indexed="59"/>
      </bottom>
      <diagonal/>
    </border>
    <border>
      <left/>
      <right/>
      <top/>
      <bottom style="medium">
        <color indexed="59"/>
      </bottom>
      <diagonal/>
    </border>
    <border>
      <left/>
      <right/>
      <top style="thin">
        <color indexed="16"/>
      </top>
      <bottom style="double">
        <color indexed="16"/>
      </bottom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3992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4" fillId="0" borderId="0" applyFill="0" applyBorder="0" applyAlignment="0" applyProtection="0">
      <protection locked="0"/>
    </xf>
    <xf numFmtId="0" fontId="5" fillId="0" borderId="0" applyFill="0" applyBorder="0" applyAlignment="0" applyProtection="0">
      <protection locked="0"/>
    </xf>
    <xf numFmtId="0" fontId="6" fillId="0" borderId="0" applyFill="0" applyAlignment="0" applyProtection="0">
      <protection locked="0"/>
    </xf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170" fontId="24" fillId="0" borderId="0"/>
    <xf numFmtId="171" fontId="24" fillId="0" borderId="0"/>
    <xf numFmtId="170" fontId="25" fillId="0" borderId="0"/>
    <xf numFmtId="171" fontId="25" fillId="0" borderId="0"/>
    <xf numFmtId="5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27" fillId="0" borderId="0">
      <alignment vertical="top"/>
    </xf>
    <xf numFmtId="0" fontId="27" fillId="0" borderId="0">
      <alignment vertical="top"/>
    </xf>
    <xf numFmtId="0" fontId="2" fillId="0" borderId="0"/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7" fillId="0" borderId="0">
      <alignment vertical="top"/>
    </xf>
    <xf numFmtId="0" fontId="27" fillId="0" borderId="0">
      <alignment vertical="top"/>
    </xf>
    <xf numFmtId="0" fontId="26" fillId="0" borderId="0"/>
    <xf numFmtId="0" fontId="2" fillId="0" borderId="0"/>
    <xf numFmtId="0" fontId="24" fillId="0" borderId="0" applyNumberFormat="0" applyFill="0" applyBorder="0" applyAlignment="0" applyProtection="0"/>
    <xf numFmtId="0" fontId="2" fillId="0" borderId="0"/>
    <xf numFmtId="173" fontId="2" fillId="0" borderId="0" applyFont="0" applyFill="0" applyBorder="0" applyAlignment="0" applyProtection="0"/>
    <xf numFmtId="0" fontId="2" fillId="0" borderId="0"/>
    <xf numFmtId="0" fontId="26" fillId="0" borderId="0"/>
    <xf numFmtId="173" fontId="2" fillId="0" borderId="0" applyFont="0" applyFill="0" applyBorder="0" applyAlignment="0" applyProtection="0"/>
    <xf numFmtId="0" fontId="26" fillId="0" borderId="0"/>
    <xf numFmtId="0" fontId="2" fillId="0" borderId="0"/>
    <xf numFmtId="0" fontId="2" fillId="0" borderId="0"/>
    <xf numFmtId="0" fontId="2" fillId="0" borderId="0"/>
    <xf numFmtId="0" fontId="27" fillId="0" borderId="0">
      <alignment vertical="top"/>
    </xf>
    <xf numFmtId="174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75" fontId="28" fillId="0" borderId="0">
      <alignment horizontal="left"/>
    </xf>
    <xf numFmtId="176" fontId="29" fillId="0" borderId="0">
      <alignment horizontal="left"/>
    </xf>
    <xf numFmtId="0" fontId="30" fillId="23" borderId="0" applyNumberFormat="0" applyBorder="0" applyAlignment="0" applyProtection="0"/>
    <xf numFmtId="0" fontId="30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30" fillId="27" borderId="0" applyNumberFormat="0" applyBorder="0" applyAlignment="0" applyProtection="0"/>
    <xf numFmtId="0" fontId="30" fillId="28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31" fillId="27" borderId="0" applyNumberFormat="0" applyBorder="0" applyAlignment="0" applyProtection="0"/>
    <xf numFmtId="0" fontId="31" fillId="28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2" borderId="0" applyNumberFormat="0" applyBorder="0" applyAlignment="0" applyProtection="0"/>
    <xf numFmtId="0" fontId="32" fillId="32" borderId="0" applyNumberFormat="0" applyBorder="0" applyAlignment="0" applyProtection="0"/>
    <xf numFmtId="0" fontId="32" fillId="32" borderId="0" applyNumberFormat="0" applyBorder="0" applyAlignment="0" applyProtection="0"/>
    <xf numFmtId="0" fontId="32" fillId="32" borderId="0" applyNumberFormat="0" applyBorder="0" applyAlignment="0" applyProtection="0"/>
    <xf numFmtId="0" fontId="32" fillId="32" borderId="0" applyNumberFormat="0" applyBorder="0" applyAlignment="0" applyProtection="0"/>
    <xf numFmtId="0" fontId="32" fillId="32" borderId="0" applyNumberFormat="0" applyBorder="0" applyAlignment="0" applyProtection="0"/>
    <xf numFmtId="0" fontId="32" fillId="32" borderId="0" applyNumberFormat="0" applyBorder="0" applyAlignment="0" applyProtection="0"/>
    <xf numFmtId="0" fontId="32" fillId="32" borderId="0" applyNumberFormat="0" applyBorder="0" applyAlignment="0" applyProtection="0"/>
    <xf numFmtId="0" fontId="32" fillId="32" borderId="0" applyNumberFormat="0" applyBorder="0" applyAlignment="0" applyProtection="0"/>
    <xf numFmtId="0" fontId="32" fillId="32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2" fillId="32" borderId="0" applyNumberFormat="0" applyBorder="0" applyAlignment="0" applyProtection="0"/>
    <xf numFmtId="0" fontId="32" fillId="32" borderId="0" applyNumberFormat="0" applyBorder="0" applyAlignment="0" applyProtection="0"/>
    <xf numFmtId="0" fontId="32" fillId="32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2" fillId="32" borderId="0" applyNumberFormat="0" applyBorder="0" applyAlignment="0" applyProtection="0"/>
    <xf numFmtId="0" fontId="32" fillId="32" borderId="0" applyNumberFormat="0" applyBorder="0" applyAlignment="0" applyProtection="0"/>
    <xf numFmtId="0" fontId="32" fillId="32" borderId="0" applyNumberFormat="0" applyBorder="0" applyAlignment="0" applyProtection="0"/>
    <xf numFmtId="0" fontId="32" fillId="32" borderId="0" applyNumberFormat="0" applyBorder="0" applyAlignment="0" applyProtection="0"/>
    <xf numFmtId="0" fontId="32" fillId="32" borderId="0" applyNumberFormat="0" applyBorder="0" applyAlignment="0" applyProtection="0"/>
    <xf numFmtId="0" fontId="32" fillId="32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3" fillId="35" borderId="0" applyNumberFormat="0" applyBorder="0" applyAlignment="0" applyProtection="0"/>
    <xf numFmtId="0" fontId="33" fillId="35" borderId="0" applyNumberFormat="0" applyBorder="0" applyAlignment="0" applyProtection="0"/>
    <xf numFmtId="0" fontId="33" fillId="35" borderId="0" applyNumberFormat="0" applyBorder="0" applyAlignment="0" applyProtection="0"/>
    <xf numFmtId="0" fontId="33" fillId="35" borderId="0" applyNumberFormat="0" applyBorder="0" applyAlignment="0" applyProtection="0"/>
    <xf numFmtId="0" fontId="33" fillId="35" borderId="0" applyNumberFormat="0" applyBorder="0" applyAlignment="0" applyProtection="0"/>
    <xf numFmtId="0" fontId="33" fillId="35" borderId="0" applyNumberFormat="0" applyBorder="0" applyAlignment="0" applyProtection="0"/>
    <xf numFmtId="0" fontId="33" fillId="35" borderId="0" applyNumberFormat="0" applyBorder="0" applyAlignment="0" applyProtection="0"/>
    <xf numFmtId="0" fontId="33" fillId="35" borderId="0" applyNumberFormat="0" applyBorder="0" applyAlignment="0" applyProtection="0"/>
    <xf numFmtId="0" fontId="33" fillId="35" borderId="0" applyNumberFormat="0" applyBorder="0" applyAlignment="0" applyProtection="0"/>
    <xf numFmtId="0" fontId="33" fillId="35" borderId="0" applyNumberFormat="0" applyBorder="0" applyAlignment="0" applyProtection="0"/>
    <xf numFmtId="0" fontId="33" fillId="35" borderId="0" applyNumberFormat="0" applyBorder="0" applyAlignment="0" applyProtection="0"/>
    <xf numFmtId="0" fontId="33" fillId="35" borderId="0" applyNumberFormat="0" applyBorder="0" applyAlignment="0" applyProtection="0"/>
    <xf numFmtId="0" fontId="33" fillId="35" borderId="0" applyNumberFormat="0" applyBorder="0" applyAlignment="0" applyProtection="0"/>
    <xf numFmtId="0" fontId="33" fillId="35" borderId="0" applyNumberFormat="0" applyBorder="0" applyAlignment="0" applyProtection="0"/>
    <xf numFmtId="0" fontId="33" fillId="35" borderId="0" applyNumberFormat="0" applyBorder="0" applyAlignment="0" applyProtection="0"/>
    <xf numFmtId="0" fontId="33" fillId="35" borderId="0" applyNumberFormat="0" applyBorder="0" applyAlignment="0" applyProtection="0"/>
    <xf numFmtId="0" fontId="33" fillId="35" borderId="0" applyNumberFormat="0" applyBorder="0" applyAlignment="0" applyProtection="0"/>
    <xf numFmtId="0" fontId="33" fillId="35" borderId="0" applyNumberFormat="0" applyBorder="0" applyAlignment="0" applyProtection="0"/>
    <xf numFmtId="0" fontId="33" fillId="35" borderId="0" applyNumberFormat="0" applyBorder="0" applyAlignment="0" applyProtection="0"/>
    <xf numFmtId="0" fontId="33" fillId="35" borderId="0" applyNumberFormat="0" applyBorder="0" applyAlignment="0" applyProtection="0"/>
    <xf numFmtId="0" fontId="33" fillId="35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0" fillId="38" borderId="0" applyNumberFormat="0" applyBorder="0" applyAlignment="0" applyProtection="0"/>
    <xf numFmtId="0" fontId="30" fillId="39" borderId="0" applyNumberFormat="0" applyBorder="0" applyAlignment="0" applyProtection="0"/>
    <xf numFmtId="0" fontId="30" fillId="40" borderId="0" applyNumberFormat="0" applyBorder="0" applyAlignment="0" applyProtection="0"/>
    <xf numFmtId="0" fontId="30" fillId="26" borderId="0" applyNumberFormat="0" applyBorder="0" applyAlignment="0" applyProtection="0"/>
    <xf numFmtId="0" fontId="30" fillId="38" borderId="0" applyNumberFormat="0" applyBorder="0" applyAlignment="0" applyProtection="0"/>
    <xf numFmtId="0" fontId="30" fillId="41" borderId="0" applyNumberFormat="0" applyBorder="0" applyAlignment="0" applyProtection="0"/>
    <xf numFmtId="0" fontId="31" fillId="39" borderId="0" applyNumberFormat="0" applyBorder="0" applyAlignment="0" applyProtection="0"/>
    <xf numFmtId="0" fontId="31" fillId="40" borderId="0" applyNumberFormat="0" applyBorder="0" applyAlignment="0" applyProtection="0"/>
    <xf numFmtId="0" fontId="31" fillId="26" borderId="0" applyNumberFormat="0" applyBorder="0" applyAlignment="0" applyProtection="0"/>
    <xf numFmtId="0" fontId="31" fillId="38" borderId="0" applyNumberFormat="0" applyBorder="0" applyAlignment="0" applyProtection="0"/>
    <xf numFmtId="0" fontId="31" fillId="41" borderId="0" applyNumberFormat="0" applyBorder="0" applyAlignment="0" applyProtection="0"/>
    <xf numFmtId="0" fontId="32" fillId="42" borderId="0" applyNumberFormat="0" applyBorder="0" applyAlignment="0" applyProtection="0"/>
    <xf numFmtId="0" fontId="32" fillId="42" borderId="0" applyNumberFormat="0" applyBorder="0" applyAlignment="0" applyProtection="0"/>
    <xf numFmtId="0" fontId="32" fillId="42" borderId="0" applyNumberFormat="0" applyBorder="0" applyAlignment="0" applyProtection="0"/>
    <xf numFmtId="0" fontId="32" fillId="42" borderId="0" applyNumberFormat="0" applyBorder="0" applyAlignment="0" applyProtection="0"/>
    <xf numFmtId="0" fontId="32" fillId="42" borderId="0" applyNumberFormat="0" applyBorder="0" applyAlignment="0" applyProtection="0"/>
    <xf numFmtId="0" fontId="32" fillId="42" borderId="0" applyNumberFormat="0" applyBorder="0" applyAlignment="0" applyProtection="0"/>
    <xf numFmtId="0" fontId="32" fillId="42" borderId="0" applyNumberFormat="0" applyBorder="0" applyAlignment="0" applyProtection="0"/>
    <xf numFmtId="0" fontId="32" fillId="42" borderId="0" applyNumberFormat="0" applyBorder="0" applyAlignment="0" applyProtection="0"/>
    <xf numFmtId="0" fontId="32" fillId="42" borderId="0" applyNumberFormat="0" applyBorder="0" applyAlignment="0" applyProtection="0"/>
    <xf numFmtId="0" fontId="32" fillId="42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2" fillId="42" borderId="0" applyNumberFormat="0" applyBorder="0" applyAlignment="0" applyProtection="0"/>
    <xf numFmtId="0" fontId="32" fillId="42" borderId="0" applyNumberFormat="0" applyBorder="0" applyAlignment="0" applyProtection="0"/>
    <xf numFmtId="0" fontId="32" fillId="4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32" fillId="42" borderId="0" applyNumberFormat="0" applyBorder="0" applyAlignment="0" applyProtection="0"/>
    <xf numFmtId="0" fontId="32" fillId="42" borderId="0" applyNumberFormat="0" applyBorder="0" applyAlignment="0" applyProtection="0"/>
    <xf numFmtId="0" fontId="32" fillId="42" borderId="0" applyNumberFormat="0" applyBorder="0" applyAlignment="0" applyProtection="0"/>
    <xf numFmtId="0" fontId="32" fillId="42" borderId="0" applyNumberFormat="0" applyBorder="0" applyAlignment="0" applyProtection="0"/>
    <xf numFmtId="0" fontId="32" fillId="42" borderId="0" applyNumberFormat="0" applyBorder="0" applyAlignment="0" applyProtection="0"/>
    <xf numFmtId="0" fontId="32" fillId="42" borderId="0" applyNumberFormat="0" applyBorder="0" applyAlignment="0" applyProtection="0"/>
    <xf numFmtId="0" fontId="32" fillId="43" borderId="0" applyNumberFormat="0" applyBorder="0" applyAlignment="0" applyProtection="0"/>
    <xf numFmtId="0" fontId="32" fillId="43" borderId="0" applyNumberFormat="0" applyBorder="0" applyAlignment="0" applyProtection="0"/>
    <xf numFmtId="0" fontId="32" fillId="43" borderId="0" applyNumberFormat="0" applyBorder="0" applyAlignment="0" applyProtection="0"/>
    <xf numFmtId="0" fontId="32" fillId="43" borderId="0" applyNumberFormat="0" applyBorder="0" applyAlignment="0" applyProtection="0"/>
    <xf numFmtId="0" fontId="32" fillId="43" borderId="0" applyNumberFormat="0" applyBorder="0" applyAlignment="0" applyProtection="0"/>
    <xf numFmtId="0" fontId="32" fillId="43" borderId="0" applyNumberFormat="0" applyBorder="0" applyAlignment="0" applyProtection="0"/>
    <xf numFmtId="0" fontId="32" fillId="43" borderId="0" applyNumberFormat="0" applyBorder="0" applyAlignment="0" applyProtection="0"/>
    <xf numFmtId="0" fontId="32" fillId="43" borderId="0" applyNumberFormat="0" applyBorder="0" applyAlignment="0" applyProtection="0"/>
    <xf numFmtId="0" fontId="32" fillId="43" borderId="0" applyNumberFormat="0" applyBorder="0" applyAlignment="0" applyProtection="0"/>
    <xf numFmtId="0" fontId="32" fillId="43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2" fillId="43" borderId="0" applyNumberFormat="0" applyBorder="0" applyAlignment="0" applyProtection="0"/>
    <xf numFmtId="0" fontId="32" fillId="43" borderId="0" applyNumberFormat="0" applyBorder="0" applyAlignment="0" applyProtection="0"/>
    <xf numFmtId="0" fontId="32" fillId="4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2" fillId="43" borderId="0" applyNumberFormat="0" applyBorder="0" applyAlignment="0" applyProtection="0"/>
    <xf numFmtId="0" fontId="32" fillId="43" borderId="0" applyNumberFormat="0" applyBorder="0" applyAlignment="0" applyProtection="0"/>
    <xf numFmtId="0" fontId="32" fillId="43" borderId="0" applyNumberFormat="0" applyBorder="0" applyAlignment="0" applyProtection="0"/>
    <xf numFmtId="0" fontId="32" fillId="43" borderId="0" applyNumberFormat="0" applyBorder="0" applyAlignment="0" applyProtection="0"/>
    <xf numFmtId="0" fontId="32" fillId="43" borderId="0" applyNumberFormat="0" applyBorder="0" applyAlignment="0" applyProtection="0"/>
    <xf numFmtId="0" fontId="32" fillId="43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3" fillId="45" borderId="0" applyNumberFormat="0" applyBorder="0" applyAlignment="0" applyProtection="0"/>
    <xf numFmtId="0" fontId="33" fillId="45" borderId="0" applyNumberFormat="0" applyBorder="0" applyAlignment="0" applyProtection="0"/>
    <xf numFmtId="0" fontId="33" fillId="45" borderId="0" applyNumberFormat="0" applyBorder="0" applyAlignment="0" applyProtection="0"/>
    <xf numFmtId="0" fontId="33" fillId="45" borderId="0" applyNumberFormat="0" applyBorder="0" applyAlignment="0" applyProtection="0"/>
    <xf numFmtId="0" fontId="33" fillId="45" borderId="0" applyNumberFormat="0" applyBorder="0" applyAlignment="0" applyProtection="0"/>
    <xf numFmtId="0" fontId="33" fillId="45" borderId="0" applyNumberFormat="0" applyBorder="0" applyAlignment="0" applyProtection="0"/>
    <xf numFmtId="0" fontId="33" fillId="45" borderId="0" applyNumberFormat="0" applyBorder="0" applyAlignment="0" applyProtection="0"/>
    <xf numFmtId="0" fontId="33" fillId="45" borderId="0" applyNumberFormat="0" applyBorder="0" applyAlignment="0" applyProtection="0"/>
    <xf numFmtId="0" fontId="33" fillId="45" borderId="0" applyNumberFormat="0" applyBorder="0" applyAlignment="0" applyProtection="0"/>
    <xf numFmtId="0" fontId="33" fillId="45" borderId="0" applyNumberFormat="0" applyBorder="0" applyAlignment="0" applyProtection="0"/>
    <xf numFmtId="0" fontId="33" fillId="45" borderId="0" applyNumberFormat="0" applyBorder="0" applyAlignment="0" applyProtection="0"/>
    <xf numFmtId="0" fontId="33" fillId="45" borderId="0" applyNumberFormat="0" applyBorder="0" applyAlignment="0" applyProtection="0"/>
    <xf numFmtId="0" fontId="33" fillId="45" borderId="0" applyNumberFormat="0" applyBorder="0" applyAlignment="0" applyProtection="0"/>
    <xf numFmtId="0" fontId="33" fillId="45" borderId="0" applyNumberFormat="0" applyBorder="0" applyAlignment="0" applyProtection="0"/>
    <xf numFmtId="0" fontId="33" fillId="45" borderId="0" applyNumberFormat="0" applyBorder="0" applyAlignment="0" applyProtection="0"/>
    <xf numFmtId="0" fontId="33" fillId="45" borderId="0" applyNumberFormat="0" applyBorder="0" applyAlignment="0" applyProtection="0"/>
    <xf numFmtId="0" fontId="33" fillId="45" borderId="0" applyNumberFormat="0" applyBorder="0" applyAlignment="0" applyProtection="0"/>
    <xf numFmtId="0" fontId="33" fillId="45" borderId="0" applyNumberFormat="0" applyBorder="0" applyAlignment="0" applyProtection="0"/>
    <xf numFmtId="0" fontId="33" fillId="45" borderId="0" applyNumberFormat="0" applyBorder="0" applyAlignment="0" applyProtection="0"/>
    <xf numFmtId="0" fontId="33" fillId="45" borderId="0" applyNumberFormat="0" applyBorder="0" applyAlignment="0" applyProtection="0"/>
    <xf numFmtId="0" fontId="33" fillId="45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3" fillId="46" borderId="0" applyNumberFormat="0" applyBorder="0" applyAlignment="0" applyProtection="0"/>
    <xf numFmtId="0" fontId="33" fillId="46" borderId="0" applyNumberFormat="0" applyBorder="0" applyAlignment="0" applyProtection="0"/>
    <xf numFmtId="0" fontId="33" fillId="46" borderId="0" applyNumberFormat="0" applyBorder="0" applyAlignment="0" applyProtection="0"/>
    <xf numFmtId="0" fontId="33" fillId="46" borderId="0" applyNumberFormat="0" applyBorder="0" applyAlignment="0" applyProtection="0"/>
    <xf numFmtId="0" fontId="33" fillId="46" borderId="0" applyNumberFormat="0" applyBorder="0" applyAlignment="0" applyProtection="0"/>
    <xf numFmtId="0" fontId="33" fillId="46" borderId="0" applyNumberFormat="0" applyBorder="0" applyAlignment="0" applyProtection="0"/>
    <xf numFmtId="0" fontId="33" fillId="46" borderId="0" applyNumberFormat="0" applyBorder="0" applyAlignment="0" applyProtection="0"/>
    <xf numFmtId="0" fontId="33" fillId="46" borderId="0" applyNumberFormat="0" applyBorder="0" applyAlignment="0" applyProtection="0"/>
    <xf numFmtId="0" fontId="33" fillId="46" borderId="0" applyNumberFormat="0" applyBorder="0" applyAlignment="0" applyProtection="0"/>
    <xf numFmtId="0" fontId="33" fillId="46" borderId="0" applyNumberFormat="0" applyBorder="0" applyAlignment="0" applyProtection="0"/>
    <xf numFmtId="0" fontId="33" fillId="46" borderId="0" applyNumberFormat="0" applyBorder="0" applyAlignment="0" applyProtection="0"/>
    <xf numFmtId="0" fontId="33" fillId="46" borderId="0" applyNumberFormat="0" applyBorder="0" applyAlignment="0" applyProtection="0"/>
    <xf numFmtId="0" fontId="33" fillId="46" borderId="0" applyNumberFormat="0" applyBorder="0" applyAlignment="0" applyProtection="0"/>
    <xf numFmtId="0" fontId="33" fillId="46" borderId="0" applyNumberFormat="0" applyBorder="0" applyAlignment="0" applyProtection="0"/>
    <xf numFmtId="0" fontId="33" fillId="46" borderId="0" applyNumberFormat="0" applyBorder="0" applyAlignment="0" applyProtection="0"/>
    <xf numFmtId="0" fontId="33" fillId="46" borderId="0" applyNumberFormat="0" applyBorder="0" applyAlignment="0" applyProtection="0"/>
    <xf numFmtId="0" fontId="33" fillId="46" borderId="0" applyNumberFormat="0" applyBorder="0" applyAlignment="0" applyProtection="0"/>
    <xf numFmtId="0" fontId="33" fillId="46" borderId="0" applyNumberFormat="0" applyBorder="0" applyAlignment="0" applyProtection="0"/>
    <xf numFmtId="0" fontId="33" fillId="46" borderId="0" applyNumberFormat="0" applyBorder="0" applyAlignment="0" applyProtection="0"/>
    <xf numFmtId="0" fontId="33" fillId="46" borderId="0" applyNumberFormat="0" applyBorder="0" applyAlignment="0" applyProtection="0"/>
    <xf numFmtId="0" fontId="33" fillId="46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42" borderId="0" applyNumberFormat="0" applyBorder="0" applyAlignment="0" applyProtection="0"/>
    <xf numFmtId="0" fontId="32" fillId="42" borderId="0" applyNumberFormat="0" applyBorder="0" applyAlignment="0" applyProtection="0"/>
    <xf numFmtId="0" fontId="32" fillId="42" borderId="0" applyNumberFormat="0" applyBorder="0" applyAlignment="0" applyProtection="0"/>
    <xf numFmtId="0" fontId="32" fillId="42" borderId="0" applyNumberFormat="0" applyBorder="0" applyAlignment="0" applyProtection="0"/>
    <xf numFmtId="0" fontId="32" fillId="42" borderId="0" applyNumberFormat="0" applyBorder="0" applyAlignment="0" applyProtection="0"/>
    <xf numFmtId="0" fontId="32" fillId="42" borderId="0" applyNumberFormat="0" applyBorder="0" applyAlignment="0" applyProtection="0"/>
    <xf numFmtId="0" fontId="32" fillId="42" borderId="0" applyNumberFormat="0" applyBorder="0" applyAlignment="0" applyProtection="0"/>
    <xf numFmtId="0" fontId="32" fillId="42" borderId="0" applyNumberFormat="0" applyBorder="0" applyAlignment="0" applyProtection="0"/>
    <xf numFmtId="0" fontId="32" fillId="42" borderId="0" applyNumberFormat="0" applyBorder="0" applyAlignment="0" applyProtection="0"/>
    <xf numFmtId="0" fontId="32" fillId="42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2" fillId="42" borderId="0" applyNumberFormat="0" applyBorder="0" applyAlignment="0" applyProtection="0"/>
    <xf numFmtId="0" fontId="32" fillId="42" borderId="0" applyNumberFormat="0" applyBorder="0" applyAlignment="0" applyProtection="0"/>
    <xf numFmtId="0" fontId="32" fillId="42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32" fillId="42" borderId="0" applyNumberFormat="0" applyBorder="0" applyAlignment="0" applyProtection="0"/>
    <xf numFmtId="0" fontId="32" fillId="42" borderId="0" applyNumberFormat="0" applyBorder="0" applyAlignment="0" applyProtection="0"/>
    <xf numFmtId="0" fontId="32" fillId="42" borderId="0" applyNumberFormat="0" applyBorder="0" applyAlignment="0" applyProtection="0"/>
    <xf numFmtId="0" fontId="32" fillId="42" borderId="0" applyNumberFormat="0" applyBorder="0" applyAlignment="0" applyProtection="0"/>
    <xf numFmtId="0" fontId="32" fillId="42" borderId="0" applyNumberFormat="0" applyBorder="0" applyAlignment="0" applyProtection="0"/>
    <xf numFmtId="0" fontId="32" fillId="42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4" fillId="48" borderId="0" applyNumberFormat="0" applyBorder="0" applyAlignment="0" applyProtection="0"/>
    <xf numFmtId="0" fontId="34" fillId="39" borderId="0" applyNumberFormat="0" applyBorder="0" applyAlignment="0" applyProtection="0"/>
    <xf numFmtId="0" fontId="34" fillId="40" borderId="0" applyNumberFormat="0" applyBorder="0" applyAlignment="0" applyProtection="0"/>
    <xf numFmtId="0" fontId="34" fillId="49" borderId="0" applyNumberFormat="0" applyBorder="0" applyAlignment="0" applyProtection="0"/>
    <xf numFmtId="0" fontId="34" fillId="50" borderId="0" applyNumberFormat="0" applyBorder="0" applyAlignment="0" applyProtection="0"/>
    <xf numFmtId="0" fontId="34" fillId="51" borderId="0" applyNumberFormat="0" applyBorder="0" applyAlignment="0" applyProtection="0"/>
    <xf numFmtId="0" fontId="35" fillId="48" borderId="0" applyNumberFormat="0" applyBorder="0" applyAlignment="0" applyProtection="0"/>
    <xf numFmtId="0" fontId="35" fillId="48" borderId="0" applyNumberFormat="0" applyBorder="0" applyAlignment="0" applyProtection="0"/>
    <xf numFmtId="0" fontId="35" fillId="48" borderId="0" applyNumberFormat="0" applyBorder="0" applyAlignment="0" applyProtection="0"/>
    <xf numFmtId="0" fontId="35" fillId="48" borderId="0" applyNumberFormat="0" applyBorder="0" applyAlignment="0" applyProtection="0"/>
    <xf numFmtId="0" fontId="35" fillId="48" borderId="0" applyNumberFormat="0" applyBorder="0" applyAlignment="0" applyProtection="0"/>
    <xf numFmtId="0" fontId="35" fillId="48" borderId="0" applyNumberFormat="0" applyBorder="0" applyAlignment="0" applyProtection="0"/>
    <xf numFmtId="0" fontId="35" fillId="48" borderId="0" applyNumberFormat="0" applyBorder="0" applyAlignment="0" applyProtection="0"/>
    <xf numFmtId="0" fontId="35" fillId="48" borderId="0" applyNumberFormat="0" applyBorder="0" applyAlignment="0" applyProtection="0"/>
    <xf numFmtId="0" fontId="35" fillId="48" borderId="0" applyNumberFormat="0" applyBorder="0" applyAlignment="0" applyProtection="0"/>
    <xf numFmtId="0" fontId="35" fillId="48" borderId="0" applyNumberFormat="0" applyBorder="0" applyAlignment="0" applyProtection="0"/>
    <xf numFmtId="0" fontId="35" fillId="48" borderId="0" applyNumberFormat="0" applyBorder="0" applyAlignment="0" applyProtection="0"/>
    <xf numFmtId="0" fontId="35" fillId="39" borderId="0" applyNumberFormat="0" applyBorder="0" applyAlignment="0" applyProtection="0"/>
    <xf numFmtId="0" fontId="35" fillId="40" borderId="0" applyNumberFormat="0" applyBorder="0" applyAlignment="0" applyProtection="0"/>
    <xf numFmtId="0" fontId="35" fillId="49" borderId="0" applyNumberFormat="0" applyBorder="0" applyAlignment="0" applyProtection="0"/>
    <xf numFmtId="0" fontId="35" fillId="50" borderId="0" applyNumberFormat="0" applyBorder="0" applyAlignment="0" applyProtection="0"/>
    <xf numFmtId="0" fontId="35" fillId="51" borderId="0" applyNumberFormat="0" applyBorder="0" applyAlignment="0" applyProtection="0"/>
    <xf numFmtId="0" fontId="36" fillId="52" borderId="0" applyNumberFormat="0" applyBorder="0" applyAlignment="0" applyProtection="0"/>
    <xf numFmtId="0" fontId="36" fillId="52" borderId="0" applyNumberFormat="0" applyBorder="0" applyAlignment="0" applyProtection="0"/>
    <xf numFmtId="0" fontId="36" fillId="52" borderId="0" applyNumberFormat="0" applyBorder="0" applyAlignment="0" applyProtection="0"/>
    <xf numFmtId="0" fontId="36" fillId="52" borderId="0" applyNumberFormat="0" applyBorder="0" applyAlignment="0" applyProtection="0"/>
    <xf numFmtId="0" fontId="36" fillId="52" borderId="0" applyNumberFormat="0" applyBorder="0" applyAlignment="0" applyProtection="0"/>
    <xf numFmtId="0" fontId="36" fillId="52" borderId="0" applyNumberFormat="0" applyBorder="0" applyAlignment="0" applyProtection="0"/>
    <xf numFmtId="0" fontId="36" fillId="52" borderId="0" applyNumberFormat="0" applyBorder="0" applyAlignment="0" applyProtection="0"/>
    <xf numFmtId="0" fontId="36" fillId="52" borderId="0" applyNumberFormat="0" applyBorder="0" applyAlignment="0" applyProtection="0"/>
    <xf numFmtId="0" fontId="36" fillId="52" borderId="0" applyNumberFormat="0" applyBorder="0" applyAlignment="0" applyProtection="0"/>
    <xf numFmtId="0" fontId="36" fillId="52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6" fillId="52" borderId="0" applyNumberFormat="0" applyBorder="0" applyAlignment="0" applyProtection="0"/>
    <xf numFmtId="0" fontId="36" fillId="52" borderId="0" applyNumberFormat="0" applyBorder="0" applyAlignment="0" applyProtection="0"/>
    <xf numFmtId="0" fontId="36" fillId="52" borderId="0" applyNumberFormat="0" applyBorder="0" applyAlignment="0" applyProtection="0"/>
    <xf numFmtId="0" fontId="36" fillId="52" borderId="0" applyNumberFormat="0" applyBorder="0" applyAlignment="0" applyProtection="0"/>
    <xf numFmtId="0" fontId="36" fillId="52" borderId="0" applyNumberFormat="0" applyBorder="0" applyAlignment="0" applyProtection="0"/>
    <xf numFmtId="0" fontId="36" fillId="52" borderId="0" applyNumberFormat="0" applyBorder="0" applyAlignment="0" applyProtection="0"/>
    <xf numFmtId="0" fontId="36" fillId="52" borderId="0" applyNumberFormat="0" applyBorder="0" applyAlignment="0" applyProtection="0"/>
    <xf numFmtId="0" fontId="36" fillId="52" borderId="0" applyNumberFormat="0" applyBorder="0" applyAlignment="0" applyProtection="0"/>
    <xf numFmtId="0" fontId="36" fillId="52" borderId="0" applyNumberFormat="0" applyBorder="0" applyAlignment="0" applyProtection="0"/>
    <xf numFmtId="0" fontId="36" fillId="43" borderId="0" applyNumberFormat="0" applyBorder="0" applyAlignment="0" applyProtection="0"/>
    <xf numFmtId="0" fontId="36" fillId="43" borderId="0" applyNumberFormat="0" applyBorder="0" applyAlignment="0" applyProtection="0"/>
    <xf numFmtId="0" fontId="36" fillId="43" borderId="0" applyNumberFormat="0" applyBorder="0" applyAlignment="0" applyProtection="0"/>
    <xf numFmtId="0" fontId="36" fillId="43" borderId="0" applyNumberFormat="0" applyBorder="0" applyAlignment="0" applyProtection="0"/>
    <xf numFmtId="0" fontId="36" fillId="43" borderId="0" applyNumberFormat="0" applyBorder="0" applyAlignment="0" applyProtection="0"/>
    <xf numFmtId="0" fontId="36" fillId="43" borderId="0" applyNumberFormat="0" applyBorder="0" applyAlignment="0" applyProtection="0"/>
    <xf numFmtId="0" fontId="36" fillId="43" borderId="0" applyNumberFormat="0" applyBorder="0" applyAlignment="0" applyProtection="0"/>
    <xf numFmtId="0" fontId="36" fillId="43" borderId="0" applyNumberFormat="0" applyBorder="0" applyAlignment="0" applyProtection="0"/>
    <xf numFmtId="0" fontId="36" fillId="43" borderId="0" applyNumberFormat="0" applyBorder="0" applyAlignment="0" applyProtection="0"/>
    <xf numFmtId="0" fontId="36" fillId="43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6" fillId="43" borderId="0" applyNumberFormat="0" applyBorder="0" applyAlignment="0" applyProtection="0"/>
    <xf numFmtId="0" fontId="36" fillId="43" borderId="0" applyNumberFormat="0" applyBorder="0" applyAlignment="0" applyProtection="0"/>
    <xf numFmtId="0" fontId="36" fillId="43" borderId="0" applyNumberFormat="0" applyBorder="0" applyAlignment="0" applyProtection="0"/>
    <xf numFmtId="0" fontId="36" fillId="43" borderId="0" applyNumberFormat="0" applyBorder="0" applyAlignment="0" applyProtection="0"/>
    <xf numFmtId="0" fontId="36" fillId="43" borderId="0" applyNumberFormat="0" applyBorder="0" applyAlignment="0" applyProtection="0"/>
    <xf numFmtId="0" fontId="36" fillId="43" borderId="0" applyNumberFormat="0" applyBorder="0" applyAlignment="0" applyProtection="0"/>
    <xf numFmtId="0" fontId="36" fillId="43" borderId="0" applyNumberFormat="0" applyBorder="0" applyAlignment="0" applyProtection="0"/>
    <xf numFmtId="0" fontId="36" fillId="43" borderId="0" applyNumberFormat="0" applyBorder="0" applyAlignment="0" applyProtection="0"/>
    <xf numFmtId="0" fontId="36" fillId="43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4" fillId="46" borderId="0" applyNumberFormat="0" applyBorder="0" applyAlignment="0" applyProtection="0"/>
    <xf numFmtId="0" fontId="34" fillId="46" borderId="0" applyNumberFormat="0" applyBorder="0" applyAlignment="0" applyProtection="0"/>
    <xf numFmtId="0" fontId="34" fillId="46" borderId="0" applyNumberFormat="0" applyBorder="0" applyAlignment="0" applyProtection="0"/>
    <xf numFmtId="0" fontId="34" fillId="46" borderId="0" applyNumberFormat="0" applyBorder="0" applyAlignment="0" applyProtection="0"/>
    <xf numFmtId="0" fontId="34" fillId="46" borderId="0" applyNumberFormat="0" applyBorder="0" applyAlignment="0" applyProtection="0"/>
    <xf numFmtId="0" fontId="34" fillId="46" borderId="0" applyNumberFormat="0" applyBorder="0" applyAlignment="0" applyProtection="0"/>
    <xf numFmtId="0" fontId="34" fillId="46" borderId="0" applyNumberFormat="0" applyBorder="0" applyAlignment="0" applyProtection="0"/>
    <xf numFmtId="0" fontId="34" fillId="46" borderId="0" applyNumberFormat="0" applyBorder="0" applyAlignment="0" applyProtection="0"/>
    <xf numFmtId="0" fontId="34" fillId="46" borderId="0" applyNumberFormat="0" applyBorder="0" applyAlignment="0" applyProtection="0"/>
    <xf numFmtId="0" fontId="34" fillId="46" borderId="0" applyNumberFormat="0" applyBorder="0" applyAlignment="0" applyProtection="0"/>
    <xf numFmtId="0" fontId="34" fillId="46" borderId="0" applyNumberFormat="0" applyBorder="0" applyAlignment="0" applyProtection="0"/>
    <xf numFmtId="0" fontId="34" fillId="46" borderId="0" applyNumberFormat="0" applyBorder="0" applyAlignment="0" applyProtection="0"/>
    <xf numFmtId="0" fontId="34" fillId="46" borderId="0" applyNumberFormat="0" applyBorder="0" applyAlignment="0" applyProtection="0"/>
    <xf numFmtId="0" fontId="34" fillId="46" borderId="0" applyNumberFormat="0" applyBorder="0" applyAlignment="0" applyProtection="0"/>
    <xf numFmtId="0" fontId="34" fillId="46" borderId="0" applyNumberFormat="0" applyBorder="0" applyAlignment="0" applyProtection="0"/>
    <xf numFmtId="0" fontId="34" fillId="46" borderId="0" applyNumberFormat="0" applyBorder="0" applyAlignment="0" applyProtection="0"/>
    <xf numFmtId="0" fontId="34" fillId="46" borderId="0" applyNumberFormat="0" applyBorder="0" applyAlignment="0" applyProtection="0"/>
    <xf numFmtId="0" fontId="34" fillId="46" borderId="0" applyNumberFormat="0" applyBorder="0" applyAlignment="0" applyProtection="0"/>
    <xf numFmtId="0" fontId="34" fillId="46" borderId="0" applyNumberFormat="0" applyBorder="0" applyAlignment="0" applyProtection="0"/>
    <xf numFmtId="0" fontId="34" fillId="46" borderId="0" applyNumberFormat="0" applyBorder="0" applyAlignment="0" applyProtection="0"/>
    <xf numFmtId="0" fontId="34" fillId="46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5" borderId="0" applyNumberFormat="0" applyBorder="0" applyAlignment="0" applyProtection="0"/>
    <xf numFmtId="0" fontId="36" fillId="55" borderId="0" applyNumberFormat="0" applyBorder="0" applyAlignment="0" applyProtection="0"/>
    <xf numFmtId="0" fontId="36" fillId="55" borderId="0" applyNumberFormat="0" applyBorder="0" applyAlignment="0" applyProtection="0"/>
    <xf numFmtId="0" fontId="36" fillId="55" borderId="0" applyNumberFormat="0" applyBorder="0" applyAlignment="0" applyProtection="0"/>
    <xf numFmtId="0" fontId="36" fillId="55" borderId="0" applyNumberFormat="0" applyBorder="0" applyAlignment="0" applyProtection="0"/>
    <xf numFmtId="0" fontId="36" fillId="55" borderId="0" applyNumberFormat="0" applyBorder="0" applyAlignment="0" applyProtection="0"/>
    <xf numFmtId="0" fontId="36" fillId="55" borderId="0" applyNumberFormat="0" applyBorder="0" applyAlignment="0" applyProtection="0"/>
    <xf numFmtId="0" fontId="36" fillId="55" borderId="0" applyNumberFormat="0" applyBorder="0" applyAlignment="0" applyProtection="0"/>
    <xf numFmtId="0" fontId="36" fillId="55" borderId="0" applyNumberFormat="0" applyBorder="0" applyAlignment="0" applyProtection="0"/>
    <xf numFmtId="0" fontId="36" fillId="55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6" fillId="55" borderId="0" applyNumberFormat="0" applyBorder="0" applyAlignment="0" applyProtection="0"/>
    <xf numFmtId="0" fontId="36" fillId="55" borderId="0" applyNumberFormat="0" applyBorder="0" applyAlignment="0" applyProtection="0"/>
    <xf numFmtId="0" fontId="36" fillId="55" borderId="0" applyNumberFormat="0" applyBorder="0" applyAlignment="0" applyProtection="0"/>
    <xf numFmtId="0" fontId="36" fillId="55" borderId="0" applyNumberFormat="0" applyBorder="0" applyAlignment="0" applyProtection="0"/>
    <xf numFmtId="0" fontId="36" fillId="55" borderId="0" applyNumberFormat="0" applyBorder="0" applyAlignment="0" applyProtection="0"/>
    <xf numFmtId="0" fontId="36" fillId="55" borderId="0" applyNumberFormat="0" applyBorder="0" applyAlignment="0" applyProtection="0"/>
    <xf numFmtId="0" fontId="36" fillId="55" borderId="0" applyNumberFormat="0" applyBorder="0" applyAlignment="0" applyProtection="0"/>
    <xf numFmtId="0" fontId="36" fillId="55" borderId="0" applyNumberFormat="0" applyBorder="0" applyAlignment="0" applyProtection="0"/>
    <xf numFmtId="0" fontId="36" fillId="55" borderId="0" applyNumberFormat="0" applyBorder="0" applyAlignment="0" applyProtection="0"/>
    <xf numFmtId="0" fontId="36" fillId="56" borderId="0" applyNumberFormat="0" applyBorder="0" applyAlignment="0" applyProtection="0"/>
    <xf numFmtId="0" fontId="36" fillId="56" borderId="0" applyNumberFormat="0" applyBorder="0" applyAlignment="0" applyProtection="0"/>
    <xf numFmtId="0" fontId="36" fillId="56" borderId="0" applyNumberFormat="0" applyBorder="0" applyAlignment="0" applyProtection="0"/>
    <xf numFmtId="0" fontId="36" fillId="56" borderId="0" applyNumberFormat="0" applyBorder="0" applyAlignment="0" applyProtection="0"/>
    <xf numFmtId="0" fontId="36" fillId="56" borderId="0" applyNumberFormat="0" applyBorder="0" applyAlignment="0" applyProtection="0"/>
    <xf numFmtId="0" fontId="36" fillId="56" borderId="0" applyNumberFormat="0" applyBorder="0" applyAlignment="0" applyProtection="0"/>
    <xf numFmtId="0" fontId="36" fillId="56" borderId="0" applyNumberFormat="0" applyBorder="0" applyAlignment="0" applyProtection="0"/>
    <xf numFmtId="0" fontId="36" fillId="56" borderId="0" applyNumberFormat="0" applyBorder="0" applyAlignment="0" applyProtection="0"/>
    <xf numFmtId="0" fontId="36" fillId="56" borderId="0" applyNumberFormat="0" applyBorder="0" applyAlignment="0" applyProtection="0"/>
    <xf numFmtId="0" fontId="36" fillId="56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6" fillId="56" borderId="0" applyNumberFormat="0" applyBorder="0" applyAlignment="0" applyProtection="0"/>
    <xf numFmtId="0" fontId="36" fillId="56" borderId="0" applyNumberFormat="0" applyBorder="0" applyAlignment="0" applyProtection="0"/>
    <xf numFmtId="0" fontId="36" fillId="56" borderId="0" applyNumberFormat="0" applyBorder="0" applyAlignment="0" applyProtection="0"/>
    <xf numFmtId="0" fontId="36" fillId="56" borderId="0" applyNumberFormat="0" applyBorder="0" applyAlignment="0" applyProtection="0"/>
    <xf numFmtId="0" fontId="36" fillId="56" borderId="0" applyNumberFormat="0" applyBorder="0" applyAlignment="0" applyProtection="0"/>
    <xf numFmtId="0" fontId="36" fillId="56" borderId="0" applyNumberFormat="0" applyBorder="0" applyAlignment="0" applyProtection="0"/>
    <xf numFmtId="0" fontId="36" fillId="56" borderId="0" applyNumberFormat="0" applyBorder="0" applyAlignment="0" applyProtection="0"/>
    <xf numFmtId="0" fontId="36" fillId="56" borderId="0" applyNumberFormat="0" applyBorder="0" applyAlignment="0" applyProtection="0"/>
    <xf numFmtId="0" fontId="36" fillId="56" borderId="0" applyNumberFormat="0" applyBorder="0" applyAlignment="0" applyProtection="0"/>
    <xf numFmtId="0" fontId="34" fillId="57" borderId="0" applyNumberFormat="0" applyBorder="0" applyAlignment="0" applyProtection="0"/>
    <xf numFmtId="0" fontId="34" fillId="58" borderId="0" applyNumberFormat="0" applyBorder="0" applyAlignment="0" applyProtection="0"/>
    <xf numFmtId="0" fontId="34" fillId="59" borderId="0" applyNumberFormat="0" applyBorder="0" applyAlignment="0" applyProtection="0"/>
    <xf numFmtId="0" fontId="34" fillId="49" borderId="0" applyNumberFormat="0" applyBorder="0" applyAlignment="0" applyProtection="0"/>
    <xf numFmtId="0" fontId="34" fillId="50" borderId="0" applyNumberFormat="0" applyBorder="0" applyAlignment="0" applyProtection="0"/>
    <xf numFmtId="0" fontId="34" fillId="60" borderId="0" applyNumberFormat="0" applyBorder="0" applyAlignment="0" applyProtection="0"/>
    <xf numFmtId="0" fontId="35" fillId="57" borderId="0" applyNumberFormat="0" applyBorder="0" applyAlignment="0" applyProtection="0"/>
    <xf numFmtId="0" fontId="35" fillId="58" borderId="0" applyNumberFormat="0" applyBorder="0" applyAlignment="0" applyProtection="0"/>
    <xf numFmtId="0" fontId="35" fillId="59" borderId="0" applyNumberFormat="0" applyBorder="0" applyAlignment="0" applyProtection="0"/>
    <xf numFmtId="0" fontId="35" fillId="49" borderId="0" applyNumberFormat="0" applyBorder="0" applyAlignment="0" applyProtection="0"/>
    <xf numFmtId="0" fontId="35" fillId="50" borderId="0" applyNumberFormat="0" applyBorder="0" applyAlignment="0" applyProtection="0"/>
    <xf numFmtId="0" fontId="35" fillId="60" borderId="0" applyNumberFormat="0" applyBorder="0" applyAlignment="0" applyProtection="0"/>
    <xf numFmtId="0" fontId="6" fillId="0" borderId="0">
      <alignment horizontal="center"/>
      <protection locked="0"/>
    </xf>
    <xf numFmtId="177" fontId="37" fillId="0" borderId="0" applyFill="0" applyBorder="0" applyProtection="0">
      <alignment horizontal="center"/>
    </xf>
    <xf numFmtId="37" fontId="38" fillId="61" borderId="0" applyNumberFormat="0" applyFont="0" applyBorder="0" applyAlignment="0" applyProtection="0"/>
    <xf numFmtId="0" fontId="39" fillId="24" borderId="0" applyNumberFormat="0" applyBorder="0" applyAlignment="0" applyProtection="0"/>
    <xf numFmtId="0" fontId="29" fillId="0" borderId="0" applyFont="0" applyFill="0" applyBorder="0" applyAlignment="0" applyProtection="0">
      <alignment horizontal="right"/>
    </xf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2" fillId="46" borderId="7" applyNumberFormat="0" applyAlignment="0" applyProtection="0"/>
    <xf numFmtId="0" fontId="42" fillId="62" borderId="8" applyNumberFormat="0" applyAlignment="0" applyProtection="0"/>
    <xf numFmtId="0" fontId="42" fillId="62" borderId="8" applyNumberFormat="0" applyAlignment="0" applyProtection="0"/>
    <xf numFmtId="0" fontId="42" fillId="62" borderId="8" applyNumberFormat="0" applyAlignment="0" applyProtection="0"/>
    <xf numFmtId="0" fontId="42" fillId="62" borderId="8" applyNumberFormat="0" applyAlignment="0" applyProtection="0"/>
    <xf numFmtId="0" fontId="42" fillId="62" borderId="8" applyNumberFormat="0" applyAlignment="0" applyProtection="0"/>
    <xf numFmtId="0" fontId="42" fillId="62" borderId="8" applyNumberFormat="0" applyAlignment="0" applyProtection="0"/>
    <xf numFmtId="0" fontId="42" fillId="62" borderId="8" applyNumberFormat="0" applyAlignment="0" applyProtection="0"/>
    <xf numFmtId="0" fontId="42" fillId="62" borderId="8" applyNumberFormat="0" applyAlignment="0" applyProtection="0"/>
    <xf numFmtId="0" fontId="42" fillId="62" borderId="8" applyNumberFormat="0" applyAlignment="0" applyProtection="0"/>
    <xf numFmtId="0" fontId="42" fillId="62" borderId="8" applyNumberFormat="0" applyAlignment="0" applyProtection="0"/>
    <xf numFmtId="0" fontId="42" fillId="35" borderId="7" applyNumberFormat="0" applyAlignment="0" applyProtection="0"/>
    <xf numFmtId="0" fontId="42" fillId="35" borderId="7" applyNumberFormat="0" applyAlignment="0" applyProtection="0"/>
    <xf numFmtId="0" fontId="42" fillId="35" borderId="7" applyNumberFormat="0" applyAlignment="0" applyProtection="0"/>
    <xf numFmtId="0" fontId="42" fillId="35" borderId="7" applyNumberFormat="0" applyAlignment="0" applyProtection="0"/>
    <xf numFmtId="0" fontId="42" fillId="35" borderId="7" applyNumberFormat="0" applyAlignment="0" applyProtection="0"/>
    <xf numFmtId="0" fontId="42" fillId="35" borderId="7" applyNumberFormat="0" applyAlignment="0" applyProtection="0"/>
    <xf numFmtId="0" fontId="42" fillId="35" borderId="7" applyNumberFormat="0" applyAlignment="0" applyProtection="0"/>
    <xf numFmtId="0" fontId="42" fillId="35" borderId="7" applyNumberFormat="0" applyAlignment="0" applyProtection="0"/>
    <xf numFmtId="0" fontId="42" fillId="35" borderId="7" applyNumberFormat="0" applyAlignment="0" applyProtection="0"/>
    <xf numFmtId="0" fontId="42" fillId="35" borderId="7" applyNumberFormat="0" applyAlignment="0" applyProtection="0"/>
    <xf numFmtId="0" fontId="42" fillId="35" borderId="7" applyNumberFormat="0" applyAlignment="0" applyProtection="0"/>
    <xf numFmtId="0" fontId="42" fillId="35" borderId="7" applyNumberFormat="0" applyAlignment="0" applyProtection="0"/>
    <xf numFmtId="0" fontId="42" fillId="35" borderId="7" applyNumberFormat="0" applyAlignment="0" applyProtection="0"/>
    <xf numFmtId="0" fontId="42" fillId="35" borderId="7" applyNumberFormat="0" applyAlignment="0" applyProtection="0"/>
    <xf numFmtId="0" fontId="42" fillId="35" borderId="7" applyNumberFormat="0" applyAlignment="0" applyProtection="0"/>
    <xf numFmtId="0" fontId="42" fillId="35" borderId="7" applyNumberFormat="0" applyAlignment="0" applyProtection="0"/>
    <xf numFmtId="0" fontId="42" fillId="35" borderId="7" applyNumberFormat="0" applyAlignment="0" applyProtection="0"/>
    <xf numFmtId="0" fontId="42" fillId="35" borderId="7" applyNumberFormat="0" applyAlignment="0" applyProtection="0"/>
    <xf numFmtId="0" fontId="42" fillId="35" borderId="7" applyNumberFormat="0" applyAlignment="0" applyProtection="0"/>
    <xf numFmtId="0" fontId="42" fillId="35" borderId="7" applyNumberFormat="0" applyAlignment="0" applyProtection="0"/>
    <xf numFmtId="0" fontId="42" fillId="35" borderId="7" applyNumberFormat="0" applyAlignment="0" applyProtection="0"/>
    <xf numFmtId="0" fontId="42" fillId="62" borderId="8" applyNumberFormat="0" applyAlignment="0" applyProtection="0"/>
    <xf numFmtId="0" fontId="42" fillId="62" borderId="8" applyNumberFormat="0" applyAlignment="0" applyProtection="0"/>
    <xf numFmtId="0" fontId="42" fillId="62" borderId="8" applyNumberFormat="0" applyAlignment="0" applyProtection="0"/>
    <xf numFmtId="0" fontId="42" fillId="62" borderId="8" applyNumberFormat="0" applyAlignment="0" applyProtection="0"/>
    <xf numFmtId="0" fontId="42" fillId="62" borderId="8" applyNumberFormat="0" applyAlignment="0" applyProtection="0"/>
    <xf numFmtId="0" fontId="42" fillId="62" borderId="8" applyNumberFormat="0" applyAlignment="0" applyProtection="0"/>
    <xf numFmtId="0" fontId="42" fillId="62" borderId="8" applyNumberFormat="0" applyAlignment="0" applyProtection="0"/>
    <xf numFmtId="0" fontId="42" fillId="62" borderId="8" applyNumberFormat="0" applyAlignment="0" applyProtection="0"/>
    <xf numFmtId="0" fontId="42" fillId="62" borderId="8" applyNumberFormat="0" applyAlignment="0" applyProtection="0"/>
    <xf numFmtId="0" fontId="2" fillId="0" borderId="0"/>
    <xf numFmtId="0" fontId="43" fillId="63" borderId="9" applyNumberFormat="0" applyAlignment="0" applyProtection="0"/>
    <xf numFmtId="0" fontId="43" fillId="63" borderId="9" applyNumberFormat="0" applyAlignment="0" applyProtection="0"/>
    <xf numFmtId="0" fontId="43" fillId="63" borderId="9" applyNumberFormat="0" applyAlignment="0" applyProtection="0"/>
    <xf numFmtId="0" fontId="43" fillId="63" borderId="9" applyNumberFormat="0" applyAlignment="0" applyProtection="0"/>
    <xf numFmtId="0" fontId="43" fillId="63" borderId="9" applyNumberFormat="0" applyAlignment="0" applyProtection="0"/>
    <xf numFmtId="0" fontId="43" fillId="63" borderId="9" applyNumberFormat="0" applyAlignment="0" applyProtection="0"/>
    <xf numFmtId="0" fontId="43" fillId="63" borderId="9" applyNumberFormat="0" applyAlignment="0" applyProtection="0"/>
    <xf numFmtId="0" fontId="43" fillId="63" borderId="9" applyNumberFormat="0" applyAlignment="0" applyProtection="0"/>
    <xf numFmtId="0" fontId="43" fillId="63" borderId="9" applyNumberFormat="0" applyAlignment="0" applyProtection="0"/>
    <xf numFmtId="0" fontId="43" fillId="63" borderId="9" applyNumberFormat="0" applyAlignment="0" applyProtection="0"/>
    <xf numFmtId="0" fontId="44" fillId="64" borderId="10" applyNumberFormat="0" applyAlignment="0" applyProtection="0"/>
    <xf numFmtId="0" fontId="44" fillId="64" borderId="10" applyNumberFormat="0" applyAlignment="0" applyProtection="0"/>
    <xf numFmtId="0" fontId="44" fillId="64" borderId="10" applyNumberFormat="0" applyAlignment="0" applyProtection="0"/>
    <xf numFmtId="0" fontId="44" fillId="64" borderId="10" applyNumberFormat="0" applyAlignment="0" applyProtection="0"/>
    <xf numFmtId="0" fontId="44" fillId="64" borderId="10" applyNumberFormat="0" applyAlignment="0" applyProtection="0"/>
    <xf numFmtId="0" fontId="44" fillId="64" borderId="10" applyNumberFormat="0" applyAlignment="0" applyProtection="0"/>
    <xf numFmtId="0" fontId="44" fillId="64" borderId="10" applyNumberFormat="0" applyAlignment="0" applyProtection="0"/>
    <xf numFmtId="0" fontId="44" fillId="64" borderId="10" applyNumberFormat="0" applyAlignment="0" applyProtection="0"/>
    <xf numFmtId="0" fontId="44" fillId="64" borderId="10" applyNumberFormat="0" applyAlignment="0" applyProtection="0"/>
    <xf numFmtId="0" fontId="44" fillId="64" borderId="10" applyNumberFormat="0" applyAlignment="0" applyProtection="0"/>
    <xf numFmtId="0" fontId="44" fillId="64" borderId="10" applyNumberFormat="0" applyAlignment="0" applyProtection="0"/>
    <xf numFmtId="0" fontId="44" fillId="64" borderId="10" applyNumberFormat="0" applyAlignment="0" applyProtection="0"/>
    <xf numFmtId="0" fontId="44" fillId="64" borderId="10" applyNumberFormat="0" applyAlignment="0" applyProtection="0"/>
    <xf numFmtId="0" fontId="44" fillId="64" borderId="10" applyNumberFormat="0" applyAlignment="0" applyProtection="0"/>
    <xf numFmtId="0" fontId="44" fillId="64" borderId="10" applyNumberFormat="0" applyAlignment="0" applyProtection="0"/>
    <xf numFmtId="0" fontId="44" fillId="64" borderId="10" applyNumberFormat="0" applyAlignment="0" applyProtection="0"/>
    <xf numFmtId="0" fontId="44" fillId="64" borderId="10" applyNumberFormat="0" applyAlignment="0" applyProtection="0"/>
    <xf numFmtId="0" fontId="44" fillId="64" borderId="10" applyNumberFormat="0" applyAlignment="0" applyProtection="0"/>
    <xf numFmtId="0" fontId="44" fillId="64" borderId="10" applyNumberFormat="0" applyAlignment="0" applyProtection="0"/>
    <xf numFmtId="0" fontId="44" fillId="64" borderId="10" applyNumberFormat="0" applyAlignment="0" applyProtection="0"/>
    <xf numFmtId="0" fontId="44" fillId="64" borderId="10" applyNumberFormat="0" applyAlignment="0" applyProtection="0"/>
    <xf numFmtId="0" fontId="43" fillId="63" borderId="9" applyNumberFormat="0" applyAlignment="0" applyProtection="0"/>
    <xf numFmtId="0" fontId="43" fillId="63" borderId="9" applyNumberFormat="0" applyAlignment="0" applyProtection="0"/>
    <xf numFmtId="0" fontId="43" fillId="63" borderId="9" applyNumberFormat="0" applyAlignment="0" applyProtection="0"/>
    <xf numFmtId="0" fontId="43" fillId="63" borderId="9" applyNumberFormat="0" applyAlignment="0" applyProtection="0"/>
    <xf numFmtId="0" fontId="43" fillId="63" borderId="9" applyNumberFormat="0" applyAlignment="0" applyProtection="0"/>
    <xf numFmtId="0" fontId="43" fillId="63" borderId="9" applyNumberFormat="0" applyAlignment="0" applyProtection="0"/>
    <xf numFmtId="0" fontId="43" fillId="63" borderId="9" applyNumberFormat="0" applyAlignment="0" applyProtection="0"/>
    <xf numFmtId="0" fontId="43" fillId="63" borderId="9" applyNumberFormat="0" applyAlignment="0" applyProtection="0"/>
    <xf numFmtId="0" fontId="43" fillId="63" borderId="9" applyNumberFormat="0" applyAlignment="0" applyProtection="0"/>
    <xf numFmtId="0" fontId="45" fillId="0" borderId="11" applyNumberFormat="0" applyFill="0" applyAlignment="0" applyProtection="0"/>
    <xf numFmtId="0" fontId="45" fillId="0" borderId="11" applyNumberFormat="0" applyFill="0" applyAlignment="0" applyProtection="0"/>
    <xf numFmtId="0" fontId="45" fillId="0" borderId="11" applyNumberFormat="0" applyFill="0" applyAlignment="0" applyProtection="0"/>
    <xf numFmtId="0" fontId="45" fillId="0" borderId="11" applyNumberFormat="0" applyFill="0" applyAlignment="0" applyProtection="0"/>
    <xf numFmtId="0" fontId="45" fillId="0" borderId="11" applyNumberFormat="0" applyFill="0" applyAlignment="0" applyProtection="0"/>
    <xf numFmtId="0" fontId="45" fillId="0" borderId="11" applyNumberFormat="0" applyFill="0" applyAlignment="0" applyProtection="0"/>
    <xf numFmtId="0" fontId="45" fillId="0" borderId="11" applyNumberFormat="0" applyFill="0" applyAlignment="0" applyProtection="0"/>
    <xf numFmtId="0" fontId="45" fillId="0" borderId="11" applyNumberFormat="0" applyFill="0" applyAlignment="0" applyProtection="0"/>
    <xf numFmtId="0" fontId="45" fillId="0" borderId="11" applyNumberFormat="0" applyFill="0" applyAlignment="0" applyProtection="0"/>
    <xf numFmtId="0" fontId="45" fillId="0" borderId="11" applyNumberFormat="0" applyFill="0" applyAlignment="0" applyProtection="0"/>
    <xf numFmtId="0" fontId="45" fillId="0" borderId="11" applyNumberFormat="0" applyFill="0" applyAlignment="0" applyProtection="0"/>
    <xf numFmtId="0" fontId="45" fillId="0" borderId="11" applyNumberFormat="0" applyFill="0" applyAlignment="0" applyProtection="0"/>
    <xf numFmtId="0" fontId="45" fillId="0" borderId="11" applyNumberFormat="0" applyFill="0" applyAlignment="0" applyProtection="0"/>
    <xf numFmtId="0" fontId="45" fillId="0" borderId="11" applyNumberFormat="0" applyFill="0" applyAlignment="0" applyProtection="0"/>
    <xf numFmtId="0" fontId="45" fillId="0" borderId="11" applyNumberFormat="0" applyFill="0" applyAlignment="0" applyProtection="0"/>
    <xf numFmtId="0" fontId="45" fillId="0" borderId="11" applyNumberFormat="0" applyFill="0" applyAlignment="0" applyProtection="0"/>
    <xf numFmtId="0" fontId="45" fillId="0" borderId="11" applyNumberFormat="0" applyFill="0" applyAlignment="0" applyProtection="0"/>
    <xf numFmtId="0" fontId="45" fillId="0" borderId="11" applyNumberFormat="0" applyFill="0" applyAlignment="0" applyProtection="0"/>
    <xf numFmtId="0" fontId="45" fillId="0" borderId="11" applyNumberFormat="0" applyFill="0" applyAlignment="0" applyProtection="0"/>
    <xf numFmtId="0" fontId="45" fillId="0" borderId="11" applyNumberFormat="0" applyFill="0" applyAlignment="0" applyProtection="0"/>
    <xf numFmtId="0" fontId="45" fillId="0" borderId="11" applyNumberFormat="0" applyFill="0" applyAlignment="0" applyProtection="0"/>
    <xf numFmtId="0" fontId="45" fillId="0" borderId="11" applyNumberFormat="0" applyFill="0" applyAlignment="0" applyProtection="0"/>
    <xf numFmtId="0" fontId="45" fillId="0" borderId="11" applyNumberFormat="0" applyFill="0" applyAlignment="0" applyProtection="0"/>
    <xf numFmtId="0" fontId="45" fillId="0" borderId="11" applyNumberFormat="0" applyFill="0" applyAlignment="0" applyProtection="0"/>
    <xf numFmtId="0" fontId="45" fillId="0" borderId="11" applyNumberFormat="0" applyFill="0" applyAlignment="0" applyProtection="0"/>
    <xf numFmtId="0" fontId="45" fillId="0" borderId="11" applyNumberFormat="0" applyFill="0" applyAlignment="0" applyProtection="0"/>
    <xf numFmtId="0" fontId="45" fillId="0" borderId="11" applyNumberFormat="0" applyFill="0" applyAlignment="0" applyProtection="0"/>
    <xf numFmtId="0" fontId="45" fillId="0" borderId="11" applyNumberFormat="0" applyFill="0" applyAlignment="0" applyProtection="0"/>
    <xf numFmtId="0" fontId="45" fillId="0" borderId="11" applyNumberFormat="0" applyFill="0" applyAlignment="0" applyProtection="0"/>
    <xf numFmtId="0" fontId="45" fillId="0" borderId="11" applyNumberFormat="0" applyFill="0" applyAlignment="0" applyProtection="0"/>
    <xf numFmtId="0" fontId="45" fillId="0" borderId="11" applyNumberFormat="0" applyFill="0" applyAlignment="0" applyProtection="0"/>
    <xf numFmtId="0" fontId="45" fillId="0" borderId="11" applyNumberFormat="0" applyFill="0" applyAlignment="0" applyProtection="0"/>
    <xf numFmtId="0" fontId="45" fillId="0" borderId="11" applyNumberFormat="0" applyFill="0" applyAlignment="0" applyProtection="0"/>
    <xf numFmtId="0" fontId="45" fillId="0" borderId="11" applyNumberFormat="0" applyFill="0" applyAlignment="0" applyProtection="0"/>
    <xf numFmtId="0" fontId="45" fillId="0" borderId="11" applyNumberFormat="0" applyFill="0" applyAlignment="0" applyProtection="0"/>
    <xf numFmtId="0" fontId="45" fillId="0" borderId="11" applyNumberFormat="0" applyFill="0" applyAlignment="0" applyProtection="0"/>
    <xf numFmtId="0" fontId="45" fillId="0" borderId="11" applyNumberFormat="0" applyFill="0" applyAlignment="0" applyProtection="0"/>
    <xf numFmtId="0" fontId="45" fillId="0" borderId="11" applyNumberFormat="0" applyFill="0" applyAlignment="0" applyProtection="0"/>
    <xf numFmtId="0" fontId="45" fillId="0" borderId="11" applyNumberFormat="0" applyFill="0" applyAlignment="0" applyProtection="0"/>
    <xf numFmtId="0" fontId="45" fillId="0" borderId="11" applyNumberFormat="0" applyFill="0" applyAlignment="0" applyProtection="0"/>
    <xf numFmtId="0" fontId="46" fillId="0" borderId="0" applyFill="0" applyBorder="0" applyProtection="0">
      <alignment horizontal="center"/>
      <protection locked="0"/>
    </xf>
    <xf numFmtId="0" fontId="44" fillId="64" borderId="9" applyNumberFormat="0" applyAlignment="0" applyProtection="0"/>
    <xf numFmtId="178" fontId="31" fillId="0" borderId="0" applyFont="0" applyFill="0" applyBorder="0" applyAlignment="0" applyProtection="0"/>
    <xf numFmtId="179" fontId="47" fillId="0" borderId="0"/>
    <xf numFmtId="180" fontId="5" fillId="0" borderId="0" applyFont="0" applyFill="0" applyBorder="0" applyAlignment="0" applyProtection="0"/>
    <xf numFmtId="181" fontId="48" fillId="0" borderId="0" applyFont="0" applyFill="0" applyBorder="0" applyAlignment="0" applyProtection="0"/>
    <xf numFmtId="182" fontId="48" fillId="0" borderId="0" applyFont="0" applyFill="0" applyBorder="0" applyAlignment="0" applyProtection="0"/>
    <xf numFmtId="173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184" fontId="31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173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186" fontId="2" fillId="0" borderId="0" applyFont="0" applyFill="0" applyBorder="0" applyAlignment="0" applyProtection="0"/>
    <xf numFmtId="184" fontId="31" fillId="0" borderId="0" applyFont="0" applyFill="0" applyBorder="0" applyAlignment="0" applyProtection="0"/>
    <xf numFmtId="184" fontId="31" fillId="0" borderId="0" applyFont="0" applyFill="0" applyBorder="0" applyAlignment="0" applyProtection="0"/>
    <xf numFmtId="184" fontId="31" fillId="0" borderId="0" applyFont="0" applyFill="0" applyBorder="0" applyAlignment="0" applyProtection="0"/>
    <xf numFmtId="18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4" fontId="31" fillId="0" borderId="0" applyFont="0" applyFill="0" applyBorder="0" applyAlignment="0" applyProtection="0"/>
    <xf numFmtId="184" fontId="31" fillId="0" borderId="0" applyFont="0" applyFill="0" applyBorder="0" applyAlignment="0" applyProtection="0"/>
    <xf numFmtId="184" fontId="31" fillId="0" borderId="0" applyFont="0" applyFill="0" applyBorder="0" applyAlignment="0" applyProtection="0"/>
    <xf numFmtId="184" fontId="31" fillId="0" borderId="0" applyFont="0" applyFill="0" applyBorder="0" applyAlignment="0" applyProtection="0"/>
    <xf numFmtId="184" fontId="31" fillId="0" borderId="0" applyFont="0" applyFill="0" applyBorder="0" applyAlignment="0" applyProtection="0"/>
    <xf numFmtId="184" fontId="31" fillId="0" borderId="0" applyFont="0" applyFill="0" applyBorder="0" applyAlignment="0" applyProtection="0"/>
    <xf numFmtId="184" fontId="31" fillId="0" borderId="0" applyFont="0" applyFill="0" applyBorder="0" applyAlignment="0" applyProtection="0"/>
    <xf numFmtId="173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5" fillId="0" borderId="0" applyFont="0" applyFill="0" applyBorder="0" applyAlignment="0" applyProtection="0"/>
    <xf numFmtId="185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187" fontId="49" fillId="0" borderId="0"/>
    <xf numFmtId="3" fontId="51" fillId="0" borderId="0" applyFont="0" applyFill="0" applyBorder="0" applyAlignment="0" applyProtection="0"/>
    <xf numFmtId="0" fontId="52" fillId="0" borderId="0"/>
    <xf numFmtId="0" fontId="53" fillId="0" borderId="0"/>
    <xf numFmtId="0" fontId="52" fillId="0" borderId="0"/>
    <xf numFmtId="0" fontId="52" fillId="0" borderId="0"/>
    <xf numFmtId="0" fontId="54" fillId="0" borderId="0" applyFill="0" applyBorder="0" applyAlignment="0" applyProtection="0">
      <protection locked="0"/>
    </xf>
    <xf numFmtId="0" fontId="4" fillId="0" borderId="0" applyFill="0" applyBorder="0" applyProtection="0">
      <protection locked="0"/>
    </xf>
    <xf numFmtId="188" fontId="48" fillId="0" borderId="0" applyFont="0" applyFill="0" applyBorder="0" applyAlignment="0" applyProtection="0"/>
    <xf numFmtId="189" fontId="48" fillId="0" borderId="0" applyFont="0" applyFill="0" applyBorder="0" applyAlignment="0" applyProtection="0"/>
    <xf numFmtId="190" fontId="48" fillId="0" borderId="0" applyFont="0" applyFill="0" applyBorder="0" applyAlignment="0" applyProtection="0"/>
    <xf numFmtId="191" fontId="24" fillId="0" borderId="0" applyFill="0" applyBorder="0" applyAlignment="0" applyProtection="0"/>
    <xf numFmtId="192" fontId="51" fillId="0" borderId="0" applyFont="0" applyFill="0" applyBorder="0" applyAlignment="0" applyProtection="0"/>
    <xf numFmtId="0" fontId="55" fillId="28" borderId="7" applyNumberFormat="0" applyAlignment="0" applyProtection="0"/>
    <xf numFmtId="0" fontId="56" fillId="46" borderId="12" applyNumberFormat="0" applyAlignment="0" applyProtection="0"/>
    <xf numFmtId="193" fontId="57" fillId="0" borderId="0" applyFont="0" applyFill="0" applyBorder="0" applyAlignment="0" applyProtection="0"/>
    <xf numFmtId="15" fontId="24" fillId="0" borderId="2">
      <protection locked="0"/>
    </xf>
    <xf numFmtId="15" fontId="24" fillId="0" borderId="2">
      <protection locked="0"/>
    </xf>
    <xf numFmtId="0" fontId="58" fillId="25" borderId="0" applyNumberFormat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36" fillId="65" borderId="0" applyNumberFormat="0" applyBorder="0" applyAlignment="0" applyProtection="0"/>
    <xf numFmtId="0" fontId="36" fillId="65" borderId="0" applyNumberFormat="0" applyBorder="0" applyAlignment="0" applyProtection="0"/>
    <xf numFmtId="0" fontId="36" fillId="65" borderId="0" applyNumberFormat="0" applyBorder="0" applyAlignment="0" applyProtection="0"/>
    <xf numFmtId="0" fontId="36" fillId="65" borderId="0" applyNumberFormat="0" applyBorder="0" applyAlignment="0" applyProtection="0"/>
    <xf numFmtId="0" fontId="36" fillId="65" borderId="0" applyNumberFormat="0" applyBorder="0" applyAlignment="0" applyProtection="0"/>
    <xf numFmtId="0" fontId="36" fillId="65" borderId="0" applyNumberFormat="0" applyBorder="0" applyAlignment="0" applyProtection="0"/>
    <xf numFmtId="0" fontId="36" fillId="65" borderId="0" applyNumberFormat="0" applyBorder="0" applyAlignment="0" applyProtection="0"/>
    <xf numFmtId="0" fontId="36" fillId="65" borderId="0" applyNumberFormat="0" applyBorder="0" applyAlignment="0" applyProtection="0"/>
    <xf numFmtId="0" fontId="36" fillId="65" borderId="0" applyNumberFormat="0" applyBorder="0" applyAlignment="0" applyProtection="0"/>
    <xf numFmtId="0" fontId="36" fillId="65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6" fillId="65" borderId="0" applyNumberFormat="0" applyBorder="0" applyAlignment="0" applyProtection="0"/>
    <xf numFmtId="0" fontId="36" fillId="65" borderId="0" applyNumberFormat="0" applyBorder="0" applyAlignment="0" applyProtection="0"/>
    <xf numFmtId="0" fontId="36" fillId="65" borderId="0" applyNumberFormat="0" applyBorder="0" applyAlignment="0" applyProtection="0"/>
    <xf numFmtId="0" fontId="36" fillId="65" borderId="0" applyNumberFormat="0" applyBorder="0" applyAlignment="0" applyProtection="0"/>
    <xf numFmtId="0" fontId="36" fillId="65" borderId="0" applyNumberFormat="0" applyBorder="0" applyAlignment="0" applyProtection="0"/>
    <xf numFmtId="0" fontId="36" fillId="65" borderId="0" applyNumberFormat="0" applyBorder="0" applyAlignment="0" applyProtection="0"/>
    <xf numFmtId="0" fontId="36" fillId="65" borderId="0" applyNumberFormat="0" applyBorder="0" applyAlignment="0" applyProtection="0"/>
    <xf numFmtId="0" fontId="36" fillId="65" borderId="0" applyNumberFormat="0" applyBorder="0" applyAlignment="0" applyProtection="0"/>
    <xf numFmtId="0" fontId="36" fillId="65" borderId="0" applyNumberFormat="0" applyBorder="0" applyAlignment="0" applyProtection="0"/>
    <xf numFmtId="0" fontId="36" fillId="67" borderId="0" applyNumberFormat="0" applyBorder="0" applyAlignment="0" applyProtection="0"/>
    <xf numFmtId="0" fontId="36" fillId="67" borderId="0" applyNumberFormat="0" applyBorder="0" applyAlignment="0" applyProtection="0"/>
    <xf numFmtId="0" fontId="36" fillId="67" borderId="0" applyNumberFormat="0" applyBorder="0" applyAlignment="0" applyProtection="0"/>
    <xf numFmtId="0" fontId="36" fillId="67" borderId="0" applyNumberFormat="0" applyBorder="0" applyAlignment="0" applyProtection="0"/>
    <xf numFmtId="0" fontId="36" fillId="67" borderId="0" applyNumberFormat="0" applyBorder="0" applyAlignment="0" applyProtection="0"/>
    <xf numFmtId="0" fontId="36" fillId="67" borderId="0" applyNumberFormat="0" applyBorder="0" applyAlignment="0" applyProtection="0"/>
    <xf numFmtId="0" fontId="36" fillId="67" borderId="0" applyNumberFormat="0" applyBorder="0" applyAlignment="0" applyProtection="0"/>
    <xf numFmtId="0" fontId="36" fillId="67" borderId="0" applyNumberFormat="0" applyBorder="0" applyAlignment="0" applyProtection="0"/>
    <xf numFmtId="0" fontId="36" fillId="67" borderId="0" applyNumberFormat="0" applyBorder="0" applyAlignment="0" applyProtection="0"/>
    <xf numFmtId="0" fontId="36" fillId="6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6" fillId="67" borderId="0" applyNumberFormat="0" applyBorder="0" applyAlignment="0" applyProtection="0"/>
    <xf numFmtId="0" fontId="36" fillId="67" borderId="0" applyNumberFormat="0" applyBorder="0" applyAlignment="0" applyProtection="0"/>
    <xf numFmtId="0" fontId="36" fillId="67" borderId="0" applyNumberFormat="0" applyBorder="0" applyAlignment="0" applyProtection="0"/>
    <xf numFmtId="0" fontId="36" fillId="67" borderId="0" applyNumberFormat="0" applyBorder="0" applyAlignment="0" applyProtection="0"/>
    <xf numFmtId="0" fontId="36" fillId="67" borderId="0" applyNumberFormat="0" applyBorder="0" applyAlignment="0" applyProtection="0"/>
    <xf numFmtId="0" fontId="36" fillId="67" borderId="0" applyNumberFormat="0" applyBorder="0" applyAlignment="0" applyProtection="0"/>
    <xf numFmtId="0" fontId="36" fillId="67" borderId="0" applyNumberFormat="0" applyBorder="0" applyAlignment="0" applyProtection="0"/>
    <xf numFmtId="0" fontId="36" fillId="67" borderId="0" applyNumberFormat="0" applyBorder="0" applyAlignment="0" applyProtection="0"/>
    <xf numFmtId="0" fontId="36" fillId="67" borderId="0" applyNumberFormat="0" applyBorder="0" applyAlignment="0" applyProtection="0"/>
    <xf numFmtId="0" fontId="36" fillId="68" borderId="0" applyNumberFormat="0" applyBorder="0" applyAlignment="0" applyProtection="0"/>
    <xf numFmtId="0" fontId="36" fillId="68" borderId="0" applyNumberFormat="0" applyBorder="0" applyAlignment="0" applyProtection="0"/>
    <xf numFmtId="0" fontId="36" fillId="68" borderId="0" applyNumberFormat="0" applyBorder="0" applyAlignment="0" applyProtection="0"/>
    <xf numFmtId="0" fontId="36" fillId="68" borderId="0" applyNumberFormat="0" applyBorder="0" applyAlignment="0" applyProtection="0"/>
    <xf numFmtId="0" fontId="36" fillId="68" borderId="0" applyNumberFormat="0" applyBorder="0" applyAlignment="0" applyProtection="0"/>
    <xf numFmtId="0" fontId="36" fillId="68" borderId="0" applyNumberFormat="0" applyBorder="0" applyAlignment="0" applyProtection="0"/>
    <xf numFmtId="0" fontId="36" fillId="68" borderId="0" applyNumberFormat="0" applyBorder="0" applyAlignment="0" applyProtection="0"/>
    <xf numFmtId="0" fontId="36" fillId="68" borderId="0" applyNumberFormat="0" applyBorder="0" applyAlignment="0" applyProtection="0"/>
    <xf numFmtId="0" fontId="36" fillId="68" borderId="0" applyNumberFormat="0" applyBorder="0" applyAlignment="0" applyProtection="0"/>
    <xf numFmtId="0" fontId="36" fillId="68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6" fillId="68" borderId="0" applyNumberFormat="0" applyBorder="0" applyAlignment="0" applyProtection="0"/>
    <xf numFmtId="0" fontId="36" fillId="68" borderId="0" applyNumberFormat="0" applyBorder="0" applyAlignment="0" applyProtection="0"/>
    <xf numFmtId="0" fontId="36" fillId="68" borderId="0" applyNumberFormat="0" applyBorder="0" applyAlignment="0" applyProtection="0"/>
    <xf numFmtId="0" fontId="36" fillId="68" borderId="0" applyNumberFormat="0" applyBorder="0" applyAlignment="0" applyProtection="0"/>
    <xf numFmtId="0" fontId="36" fillId="68" borderId="0" applyNumberFormat="0" applyBorder="0" applyAlignment="0" applyProtection="0"/>
    <xf numFmtId="0" fontId="36" fillId="68" borderId="0" applyNumberFormat="0" applyBorder="0" applyAlignment="0" applyProtection="0"/>
    <xf numFmtId="0" fontId="36" fillId="68" borderId="0" applyNumberFormat="0" applyBorder="0" applyAlignment="0" applyProtection="0"/>
    <xf numFmtId="0" fontId="36" fillId="68" borderId="0" applyNumberFormat="0" applyBorder="0" applyAlignment="0" applyProtection="0"/>
    <xf numFmtId="0" fontId="36" fillId="68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4" fillId="69" borderId="0" applyNumberFormat="0" applyBorder="0" applyAlignment="0" applyProtection="0"/>
    <xf numFmtId="0" fontId="34" fillId="69" borderId="0" applyNumberFormat="0" applyBorder="0" applyAlignment="0" applyProtection="0"/>
    <xf numFmtId="0" fontId="34" fillId="69" borderId="0" applyNumberFormat="0" applyBorder="0" applyAlignment="0" applyProtection="0"/>
    <xf numFmtId="0" fontId="34" fillId="69" borderId="0" applyNumberFormat="0" applyBorder="0" applyAlignment="0" applyProtection="0"/>
    <xf numFmtId="0" fontId="34" fillId="69" borderId="0" applyNumberFormat="0" applyBorder="0" applyAlignment="0" applyProtection="0"/>
    <xf numFmtId="0" fontId="34" fillId="69" borderId="0" applyNumberFormat="0" applyBorder="0" applyAlignment="0" applyProtection="0"/>
    <xf numFmtId="0" fontId="34" fillId="69" borderId="0" applyNumberFormat="0" applyBorder="0" applyAlignment="0" applyProtection="0"/>
    <xf numFmtId="0" fontId="34" fillId="69" borderId="0" applyNumberFormat="0" applyBorder="0" applyAlignment="0" applyProtection="0"/>
    <xf numFmtId="0" fontId="34" fillId="69" borderId="0" applyNumberFormat="0" applyBorder="0" applyAlignment="0" applyProtection="0"/>
    <xf numFmtId="0" fontId="34" fillId="69" borderId="0" applyNumberFormat="0" applyBorder="0" applyAlignment="0" applyProtection="0"/>
    <xf numFmtId="0" fontId="34" fillId="69" borderId="0" applyNumberFormat="0" applyBorder="0" applyAlignment="0" applyProtection="0"/>
    <xf numFmtId="0" fontId="34" fillId="69" borderId="0" applyNumberFormat="0" applyBorder="0" applyAlignment="0" applyProtection="0"/>
    <xf numFmtId="0" fontId="34" fillId="69" borderId="0" applyNumberFormat="0" applyBorder="0" applyAlignment="0" applyProtection="0"/>
    <xf numFmtId="0" fontId="34" fillId="69" borderId="0" applyNumberFormat="0" applyBorder="0" applyAlignment="0" applyProtection="0"/>
    <xf numFmtId="0" fontId="34" fillId="69" borderId="0" applyNumberFormat="0" applyBorder="0" applyAlignment="0" applyProtection="0"/>
    <xf numFmtId="0" fontId="34" fillId="69" borderId="0" applyNumberFormat="0" applyBorder="0" applyAlignment="0" applyProtection="0"/>
    <xf numFmtId="0" fontId="34" fillId="69" borderId="0" applyNumberFormat="0" applyBorder="0" applyAlignment="0" applyProtection="0"/>
    <xf numFmtId="0" fontId="34" fillId="69" borderId="0" applyNumberFormat="0" applyBorder="0" applyAlignment="0" applyProtection="0"/>
    <xf numFmtId="0" fontId="34" fillId="69" borderId="0" applyNumberFormat="0" applyBorder="0" applyAlignment="0" applyProtection="0"/>
    <xf numFmtId="0" fontId="34" fillId="69" borderId="0" applyNumberFormat="0" applyBorder="0" applyAlignment="0" applyProtection="0"/>
    <xf numFmtId="0" fontId="34" fillId="69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5" borderId="0" applyNumberFormat="0" applyBorder="0" applyAlignment="0" applyProtection="0"/>
    <xf numFmtId="0" fontId="36" fillId="55" borderId="0" applyNumberFormat="0" applyBorder="0" applyAlignment="0" applyProtection="0"/>
    <xf numFmtId="0" fontId="36" fillId="55" borderId="0" applyNumberFormat="0" applyBorder="0" applyAlignment="0" applyProtection="0"/>
    <xf numFmtId="0" fontId="36" fillId="55" borderId="0" applyNumberFormat="0" applyBorder="0" applyAlignment="0" applyProtection="0"/>
    <xf numFmtId="0" fontId="36" fillId="55" borderId="0" applyNumberFormat="0" applyBorder="0" applyAlignment="0" applyProtection="0"/>
    <xf numFmtId="0" fontId="36" fillId="55" borderId="0" applyNumberFormat="0" applyBorder="0" applyAlignment="0" applyProtection="0"/>
    <xf numFmtId="0" fontId="36" fillId="55" borderId="0" applyNumberFormat="0" applyBorder="0" applyAlignment="0" applyProtection="0"/>
    <xf numFmtId="0" fontId="36" fillId="55" borderId="0" applyNumberFormat="0" applyBorder="0" applyAlignment="0" applyProtection="0"/>
    <xf numFmtId="0" fontId="36" fillId="55" borderId="0" applyNumberFormat="0" applyBorder="0" applyAlignment="0" applyProtection="0"/>
    <xf numFmtId="0" fontId="36" fillId="55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4" fillId="66" borderId="0" applyNumberFormat="0" applyBorder="0" applyAlignment="0" applyProtection="0"/>
    <xf numFmtId="0" fontId="36" fillId="55" borderId="0" applyNumberFormat="0" applyBorder="0" applyAlignment="0" applyProtection="0"/>
    <xf numFmtId="0" fontId="36" fillId="55" borderId="0" applyNumberFormat="0" applyBorder="0" applyAlignment="0" applyProtection="0"/>
    <xf numFmtId="0" fontId="36" fillId="55" borderId="0" applyNumberFormat="0" applyBorder="0" applyAlignment="0" applyProtection="0"/>
    <xf numFmtId="0" fontId="36" fillId="55" borderId="0" applyNumberFormat="0" applyBorder="0" applyAlignment="0" applyProtection="0"/>
    <xf numFmtId="0" fontId="36" fillId="55" borderId="0" applyNumberFormat="0" applyBorder="0" applyAlignment="0" applyProtection="0"/>
    <xf numFmtId="0" fontId="36" fillId="55" borderId="0" applyNumberFormat="0" applyBorder="0" applyAlignment="0" applyProtection="0"/>
    <xf numFmtId="0" fontId="36" fillId="55" borderId="0" applyNumberFormat="0" applyBorder="0" applyAlignment="0" applyProtection="0"/>
    <xf numFmtId="0" fontId="36" fillId="55" borderId="0" applyNumberFormat="0" applyBorder="0" applyAlignment="0" applyProtection="0"/>
    <xf numFmtId="0" fontId="36" fillId="55" borderId="0" applyNumberFormat="0" applyBorder="0" applyAlignment="0" applyProtection="0"/>
    <xf numFmtId="0" fontId="36" fillId="70" borderId="0" applyNumberFormat="0" applyBorder="0" applyAlignment="0" applyProtection="0"/>
    <xf numFmtId="0" fontId="36" fillId="70" borderId="0" applyNumberFormat="0" applyBorder="0" applyAlignment="0" applyProtection="0"/>
    <xf numFmtId="0" fontId="36" fillId="70" borderId="0" applyNumberFormat="0" applyBorder="0" applyAlignment="0" applyProtection="0"/>
    <xf numFmtId="0" fontId="36" fillId="70" borderId="0" applyNumberFormat="0" applyBorder="0" applyAlignment="0" applyProtection="0"/>
    <xf numFmtId="0" fontId="36" fillId="70" borderId="0" applyNumberFormat="0" applyBorder="0" applyAlignment="0" applyProtection="0"/>
    <xf numFmtId="0" fontId="36" fillId="70" borderId="0" applyNumberFormat="0" applyBorder="0" applyAlignment="0" applyProtection="0"/>
    <xf numFmtId="0" fontId="36" fillId="70" borderId="0" applyNumberFormat="0" applyBorder="0" applyAlignment="0" applyProtection="0"/>
    <xf numFmtId="0" fontId="36" fillId="70" borderId="0" applyNumberFormat="0" applyBorder="0" applyAlignment="0" applyProtection="0"/>
    <xf numFmtId="0" fontId="36" fillId="70" borderId="0" applyNumberFormat="0" applyBorder="0" applyAlignment="0" applyProtection="0"/>
    <xf numFmtId="0" fontId="36" fillId="70" borderId="0" applyNumberFormat="0" applyBorder="0" applyAlignment="0" applyProtection="0"/>
    <xf numFmtId="0" fontId="34" fillId="71" borderId="0" applyNumberFormat="0" applyBorder="0" applyAlignment="0" applyProtection="0"/>
    <xf numFmtId="0" fontId="34" fillId="71" borderId="0" applyNumberFormat="0" applyBorder="0" applyAlignment="0" applyProtection="0"/>
    <xf numFmtId="0" fontId="34" fillId="71" borderId="0" applyNumberFormat="0" applyBorder="0" applyAlignment="0" applyProtection="0"/>
    <xf numFmtId="0" fontId="34" fillId="71" borderId="0" applyNumberFormat="0" applyBorder="0" applyAlignment="0" applyProtection="0"/>
    <xf numFmtId="0" fontId="34" fillId="71" borderId="0" applyNumberFormat="0" applyBorder="0" applyAlignment="0" applyProtection="0"/>
    <xf numFmtId="0" fontId="34" fillId="71" borderId="0" applyNumberFormat="0" applyBorder="0" applyAlignment="0" applyProtection="0"/>
    <xf numFmtId="0" fontId="34" fillId="71" borderId="0" applyNumberFormat="0" applyBorder="0" applyAlignment="0" applyProtection="0"/>
    <xf numFmtId="0" fontId="34" fillId="71" borderId="0" applyNumberFormat="0" applyBorder="0" applyAlignment="0" applyProtection="0"/>
    <xf numFmtId="0" fontId="34" fillId="71" borderId="0" applyNumberFormat="0" applyBorder="0" applyAlignment="0" applyProtection="0"/>
    <xf numFmtId="0" fontId="34" fillId="71" borderId="0" applyNumberFormat="0" applyBorder="0" applyAlignment="0" applyProtection="0"/>
    <xf numFmtId="0" fontId="34" fillId="71" borderId="0" applyNumberFormat="0" applyBorder="0" applyAlignment="0" applyProtection="0"/>
    <xf numFmtId="0" fontId="34" fillId="71" borderId="0" applyNumberFormat="0" applyBorder="0" applyAlignment="0" applyProtection="0"/>
    <xf numFmtId="0" fontId="34" fillId="71" borderId="0" applyNumberFormat="0" applyBorder="0" applyAlignment="0" applyProtection="0"/>
    <xf numFmtId="0" fontId="34" fillId="71" borderId="0" applyNumberFormat="0" applyBorder="0" applyAlignment="0" applyProtection="0"/>
    <xf numFmtId="0" fontId="34" fillId="71" borderId="0" applyNumberFormat="0" applyBorder="0" applyAlignment="0" applyProtection="0"/>
    <xf numFmtId="0" fontId="34" fillId="71" borderId="0" applyNumberFormat="0" applyBorder="0" applyAlignment="0" applyProtection="0"/>
    <xf numFmtId="0" fontId="34" fillId="71" borderId="0" applyNumberFormat="0" applyBorder="0" applyAlignment="0" applyProtection="0"/>
    <xf numFmtId="0" fontId="34" fillId="71" borderId="0" applyNumberFormat="0" applyBorder="0" applyAlignment="0" applyProtection="0"/>
    <xf numFmtId="0" fontId="34" fillId="71" borderId="0" applyNumberFormat="0" applyBorder="0" applyAlignment="0" applyProtection="0"/>
    <xf numFmtId="0" fontId="34" fillId="71" borderId="0" applyNumberFormat="0" applyBorder="0" applyAlignment="0" applyProtection="0"/>
    <xf numFmtId="0" fontId="34" fillId="71" borderId="0" applyNumberFormat="0" applyBorder="0" applyAlignment="0" applyProtection="0"/>
    <xf numFmtId="0" fontId="36" fillId="70" borderId="0" applyNumberFormat="0" applyBorder="0" applyAlignment="0" applyProtection="0"/>
    <xf numFmtId="0" fontId="36" fillId="70" borderId="0" applyNumberFormat="0" applyBorder="0" applyAlignment="0" applyProtection="0"/>
    <xf numFmtId="0" fontId="36" fillId="70" borderId="0" applyNumberFormat="0" applyBorder="0" applyAlignment="0" applyProtection="0"/>
    <xf numFmtId="0" fontId="36" fillId="70" borderId="0" applyNumberFormat="0" applyBorder="0" applyAlignment="0" applyProtection="0"/>
    <xf numFmtId="0" fontId="36" fillId="70" borderId="0" applyNumberFormat="0" applyBorder="0" applyAlignment="0" applyProtection="0"/>
    <xf numFmtId="0" fontId="36" fillId="70" borderId="0" applyNumberFormat="0" applyBorder="0" applyAlignment="0" applyProtection="0"/>
    <xf numFmtId="0" fontId="36" fillId="70" borderId="0" applyNumberFormat="0" applyBorder="0" applyAlignment="0" applyProtection="0"/>
    <xf numFmtId="0" fontId="36" fillId="70" borderId="0" applyNumberFormat="0" applyBorder="0" applyAlignment="0" applyProtection="0"/>
    <xf numFmtId="0" fontId="36" fillId="70" borderId="0" applyNumberFormat="0" applyBorder="0" applyAlignment="0" applyProtection="0"/>
    <xf numFmtId="0" fontId="61" fillId="37" borderId="8" applyNumberFormat="0" applyAlignment="0" applyProtection="0"/>
    <xf numFmtId="0" fontId="61" fillId="37" borderId="8" applyNumberFormat="0" applyAlignment="0" applyProtection="0"/>
    <xf numFmtId="0" fontId="61" fillId="37" borderId="8" applyNumberFormat="0" applyAlignment="0" applyProtection="0"/>
    <xf numFmtId="0" fontId="61" fillId="37" borderId="8" applyNumberFormat="0" applyAlignment="0" applyProtection="0"/>
    <xf numFmtId="0" fontId="61" fillId="37" borderId="8" applyNumberFormat="0" applyAlignment="0" applyProtection="0"/>
    <xf numFmtId="0" fontId="61" fillId="37" borderId="8" applyNumberFormat="0" applyAlignment="0" applyProtection="0"/>
    <xf numFmtId="0" fontId="61" fillId="37" borderId="8" applyNumberFormat="0" applyAlignment="0" applyProtection="0"/>
    <xf numFmtId="0" fontId="61" fillId="37" borderId="8" applyNumberFormat="0" applyAlignment="0" applyProtection="0"/>
    <xf numFmtId="0" fontId="61" fillId="37" borderId="8" applyNumberFormat="0" applyAlignment="0" applyProtection="0"/>
    <xf numFmtId="0" fontId="61" fillId="37" borderId="8" applyNumberFormat="0" applyAlignment="0" applyProtection="0"/>
    <xf numFmtId="0" fontId="62" fillId="28" borderId="7" applyNumberFormat="0" applyAlignment="0" applyProtection="0"/>
    <xf numFmtId="0" fontId="62" fillId="28" borderId="7" applyNumberFormat="0" applyAlignment="0" applyProtection="0"/>
    <xf numFmtId="0" fontId="62" fillId="28" borderId="7" applyNumberFormat="0" applyAlignment="0" applyProtection="0"/>
    <xf numFmtId="0" fontId="62" fillId="28" borderId="7" applyNumberFormat="0" applyAlignment="0" applyProtection="0"/>
    <xf numFmtId="0" fontId="62" fillId="28" borderId="7" applyNumberFormat="0" applyAlignment="0" applyProtection="0"/>
    <xf numFmtId="0" fontId="62" fillId="28" borderId="7" applyNumberFormat="0" applyAlignment="0" applyProtection="0"/>
    <xf numFmtId="0" fontId="62" fillId="28" borderId="7" applyNumberFormat="0" applyAlignment="0" applyProtection="0"/>
    <xf numFmtId="0" fontId="62" fillId="28" borderId="7" applyNumberFormat="0" applyAlignment="0" applyProtection="0"/>
    <xf numFmtId="0" fontId="62" fillId="28" borderId="7" applyNumberFormat="0" applyAlignment="0" applyProtection="0"/>
    <xf numFmtId="0" fontId="62" fillId="28" borderId="7" applyNumberFormat="0" applyAlignment="0" applyProtection="0"/>
    <xf numFmtId="0" fontId="62" fillId="28" borderId="7" applyNumberFormat="0" applyAlignment="0" applyProtection="0"/>
    <xf numFmtId="0" fontId="62" fillId="28" borderId="7" applyNumberFormat="0" applyAlignment="0" applyProtection="0"/>
    <xf numFmtId="0" fontId="62" fillId="28" borderId="7" applyNumberFormat="0" applyAlignment="0" applyProtection="0"/>
    <xf numFmtId="0" fontId="62" fillId="28" borderId="7" applyNumberFormat="0" applyAlignment="0" applyProtection="0"/>
    <xf numFmtId="0" fontId="62" fillId="28" borderId="7" applyNumberFormat="0" applyAlignment="0" applyProtection="0"/>
    <xf numFmtId="0" fontId="62" fillId="28" borderId="7" applyNumberFormat="0" applyAlignment="0" applyProtection="0"/>
    <xf numFmtId="0" fontId="62" fillId="28" borderId="7" applyNumberFormat="0" applyAlignment="0" applyProtection="0"/>
    <xf numFmtId="0" fontId="62" fillId="28" borderId="7" applyNumberFormat="0" applyAlignment="0" applyProtection="0"/>
    <xf numFmtId="0" fontId="62" fillId="28" borderId="7" applyNumberFormat="0" applyAlignment="0" applyProtection="0"/>
    <xf numFmtId="0" fontId="62" fillId="28" borderId="7" applyNumberFormat="0" applyAlignment="0" applyProtection="0"/>
    <xf numFmtId="0" fontId="62" fillId="28" borderId="7" applyNumberFormat="0" applyAlignment="0" applyProtection="0"/>
    <xf numFmtId="0" fontId="61" fillId="37" borderId="8" applyNumberFormat="0" applyAlignment="0" applyProtection="0"/>
    <xf numFmtId="0" fontId="61" fillId="37" borderId="8" applyNumberFormat="0" applyAlignment="0" applyProtection="0"/>
    <xf numFmtId="0" fontId="61" fillId="37" borderId="8" applyNumberFormat="0" applyAlignment="0" applyProtection="0"/>
    <xf numFmtId="0" fontId="61" fillId="37" borderId="8" applyNumberFormat="0" applyAlignment="0" applyProtection="0"/>
    <xf numFmtId="0" fontId="61" fillId="37" borderId="8" applyNumberFormat="0" applyAlignment="0" applyProtection="0"/>
    <xf numFmtId="0" fontId="61" fillId="37" borderId="8" applyNumberFormat="0" applyAlignment="0" applyProtection="0"/>
    <xf numFmtId="0" fontId="61" fillId="37" borderId="8" applyNumberFormat="0" applyAlignment="0" applyProtection="0"/>
    <xf numFmtId="0" fontId="61" fillId="37" borderId="8" applyNumberFormat="0" applyAlignment="0" applyProtection="0"/>
    <xf numFmtId="0" fontId="61" fillId="37" borderId="8" applyNumberFormat="0" applyAlignment="0" applyProtection="0"/>
    <xf numFmtId="9" fontId="63" fillId="0" borderId="5" applyNumberFormat="0" applyBorder="0" applyAlignment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194" fontId="2" fillId="0" borderId="0" applyFill="0" applyBorder="0" applyAlignment="0" applyProtection="0"/>
    <xf numFmtId="195" fontId="2" fillId="0" borderId="0" applyFont="0" applyFill="0" applyBorder="0" applyAlignment="0" applyProtection="0"/>
    <xf numFmtId="194" fontId="2" fillId="0" borderId="0" applyFill="0" applyBorder="0" applyAlignment="0" applyProtection="0"/>
    <xf numFmtId="0" fontId="30" fillId="0" borderId="0"/>
    <xf numFmtId="0" fontId="64" fillId="0" borderId="0" applyNumberFormat="0" applyFill="0" applyBorder="0" applyAlignment="0" applyProtection="0"/>
    <xf numFmtId="2" fontId="51" fillId="0" borderId="0" applyFont="0" applyFill="0" applyBorder="0" applyAlignment="0" applyProtection="0"/>
    <xf numFmtId="0" fontId="52" fillId="0" borderId="0"/>
    <xf numFmtId="0" fontId="41" fillId="25" borderId="0" applyNumberFormat="0" applyBorder="0" applyAlignment="0" applyProtection="0"/>
    <xf numFmtId="38" fontId="47" fillId="72" borderId="0" applyNumberFormat="0" applyBorder="0" applyAlignment="0" applyProtection="0"/>
    <xf numFmtId="196" fontId="7" fillId="0" borderId="0" applyNumberFormat="0" applyFill="0" applyBorder="0" applyProtection="0">
      <alignment horizontal="right"/>
    </xf>
    <xf numFmtId="0" fontId="6" fillId="0" borderId="13" applyNumberFormat="0" applyAlignment="0" applyProtection="0">
      <alignment horizontal="left" vertical="center"/>
    </xf>
    <xf numFmtId="0" fontId="6" fillId="0" borderId="3">
      <alignment horizontal="left" vertical="center"/>
    </xf>
    <xf numFmtId="14" fontId="46" fillId="73" borderId="4">
      <alignment horizontal="center" vertical="center" wrapText="1"/>
    </xf>
    <xf numFmtId="0" fontId="65" fillId="0" borderId="14" applyNumberFormat="0" applyFill="0" applyAlignment="0" applyProtection="0"/>
    <xf numFmtId="0" fontId="66" fillId="0" borderId="15" applyNumberFormat="0" applyFill="0" applyAlignment="0" applyProtection="0"/>
    <xf numFmtId="0" fontId="59" fillId="0" borderId="16" applyNumberFormat="0" applyFill="0" applyAlignment="0" applyProtection="0"/>
    <xf numFmtId="0" fontId="59" fillId="0" borderId="0" applyNumberFormat="0" applyFill="0" applyBorder="0" applyAlignment="0" applyProtection="0"/>
    <xf numFmtId="0" fontId="46" fillId="0" borderId="0" applyFill="0" applyAlignment="0" applyProtection="0">
      <protection locked="0"/>
    </xf>
    <xf numFmtId="0" fontId="6" fillId="0" borderId="0" applyFill="0" applyAlignment="0" applyProtection="0">
      <protection locked="0"/>
    </xf>
    <xf numFmtId="0" fontId="6" fillId="0" borderId="2" applyFill="0" applyAlignment="0" applyProtection="0">
      <protection locked="0"/>
    </xf>
    <xf numFmtId="0" fontId="6" fillId="0" borderId="4" applyFill="0" applyAlignment="0" applyProtection="0">
      <protection locked="0"/>
    </xf>
    <xf numFmtId="0" fontId="6" fillId="0" borderId="2" applyFill="0" applyAlignment="0" applyProtection="0">
      <protection locked="0"/>
    </xf>
    <xf numFmtId="0" fontId="6" fillId="0" borderId="2" applyFill="0" applyAlignment="0" applyProtection="0">
      <protection locked="0"/>
    </xf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1" fillId="28" borderId="7" applyNumberFormat="0" applyAlignment="0" applyProtection="0"/>
    <xf numFmtId="10" fontId="47" fillId="74" borderId="5" applyNumberFormat="0" applyBorder="0" applyAlignment="0" applyProtection="0"/>
    <xf numFmtId="197" fontId="47" fillId="74" borderId="2" applyNumberFormat="0" applyFont="0" applyAlignment="0" applyProtection="0">
      <alignment horizontal="center"/>
      <protection locked="0"/>
    </xf>
    <xf numFmtId="0" fontId="69" fillId="0" borderId="11" applyNumberFormat="0" applyFill="0" applyAlignment="0" applyProtection="0"/>
    <xf numFmtId="0" fontId="70" fillId="64" borderId="9" applyNumberFormat="0" applyAlignment="0" applyProtection="0"/>
    <xf numFmtId="0" fontId="71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198" fontId="73" fillId="0" borderId="0">
      <protection locked="0"/>
    </xf>
    <xf numFmtId="0" fontId="45" fillId="0" borderId="11" applyNumberFormat="0" applyFill="0" applyAlignment="0" applyProtection="0"/>
    <xf numFmtId="199" fontId="5" fillId="0" borderId="0" applyFont="0" applyFill="0" applyBorder="0" applyProtection="0">
      <alignment horizontal="center"/>
    </xf>
    <xf numFmtId="38" fontId="74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74" fillId="0" borderId="0" applyFont="0" applyFill="0" applyBorder="0" applyAlignment="0" applyProtection="0"/>
    <xf numFmtId="41" fontId="74" fillId="0" borderId="0" applyFont="0" applyFill="0" applyBorder="0" applyAlignment="0" applyProtection="0"/>
    <xf numFmtId="200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202" fontId="2" fillId="0" borderId="0" applyFont="0" applyFill="0" applyBorder="0" applyAlignment="0" applyProtection="0"/>
    <xf numFmtId="202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2" fontId="2" fillId="0" borderId="0" applyFont="0" applyFill="0" applyBorder="0" applyAlignment="0" applyProtection="0"/>
    <xf numFmtId="202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20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0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05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00" fontId="2" fillId="0" borderId="0" applyFill="0" applyBorder="0" applyAlignment="0" applyProtection="0"/>
    <xf numFmtId="200" fontId="2" fillId="0" borderId="0" applyFill="0" applyBorder="0" applyAlignment="0" applyProtection="0"/>
    <xf numFmtId="20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00" fontId="2" fillId="0" borderId="0" applyFill="0" applyBorder="0" applyAlignment="0" applyProtection="0"/>
    <xf numFmtId="206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00" fontId="2" fillId="0" borderId="0" applyFill="0" applyBorder="0" applyAlignment="0" applyProtection="0"/>
    <xf numFmtId="179" fontId="2" fillId="0" borderId="0" applyFill="0" applyBorder="0" applyAlignment="0" applyProtection="0"/>
    <xf numFmtId="197" fontId="2" fillId="0" borderId="0" applyFont="0" applyFill="0" applyBorder="0" applyAlignment="0" applyProtection="0"/>
    <xf numFmtId="197" fontId="2" fillId="0" borderId="0" applyFont="0" applyFill="0" applyBorder="0" applyAlignment="0" applyProtection="0"/>
    <xf numFmtId="204" fontId="2" fillId="0" borderId="0" applyFont="0" applyFill="0" applyBorder="0" applyAlignment="0" applyProtection="0"/>
    <xf numFmtId="204" fontId="2" fillId="0" borderId="0" applyFont="0" applyFill="0" applyBorder="0" applyAlignment="0" applyProtection="0"/>
    <xf numFmtId="204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208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10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30" fillId="0" borderId="0" applyFont="0" applyFill="0" applyBorder="0" applyAlignment="0" applyProtection="0"/>
    <xf numFmtId="207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11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04" fontId="2" fillId="0" borderId="0" applyFont="0" applyFill="0" applyBorder="0" applyAlignment="0" applyProtection="0"/>
    <xf numFmtId="43" fontId="30" fillId="0" borderId="0" applyFont="0" applyFill="0" applyBorder="0" applyAlignment="0" applyProtection="0"/>
    <xf numFmtId="171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0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07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07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00" fontId="2" fillId="0" borderId="0" applyFill="0" applyBorder="0" applyAlignment="0" applyProtection="0"/>
    <xf numFmtId="207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212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213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04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07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0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14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215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08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14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214" fontId="2" fillId="0" borderId="0" applyFont="0" applyFill="0" applyBorder="0" applyAlignment="0" applyProtection="0"/>
    <xf numFmtId="214" fontId="2" fillId="0" borderId="0" applyFont="0" applyFill="0" applyBorder="0" applyAlignment="0" applyProtection="0"/>
    <xf numFmtId="21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8" fontId="2" fillId="0" borderId="0" applyFont="0" applyFill="0" applyBorder="0" applyAlignment="0" applyProtection="0"/>
    <xf numFmtId="208" fontId="2" fillId="0" borderId="0" applyFont="0" applyFill="0" applyBorder="0" applyAlignment="0" applyProtection="0"/>
    <xf numFmtId="208" fontId="2" fillId="0" borderId="0" applyFont="0" applyFill="0" applyBorder="0" applyAlignment="0" applyProtection="0"/>
    <xf numFmtId="20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217" fontId="2" fillId="0" borderId="0" applyFont="0" applyFill="0" applyBorder="0" applyAlignment="0" applyProtection="0"/>
    <xf numFmtId="204" fontId="2" fillId="0" borderId="0" applyFont="0" applyFill="0" applyBorder="0" applyAlignment="0" applyProtection="0"/>
    <xf numFmtId="218" fontId="2" fillId="0" borderId="0" applyFill="0" applyBorder="0" applyAlignment="0" applyProtection="0"/>
    <xf numFmtId="219" fontId="2" fillId="0" borderId="0" applyFill="0" applyBorder="0" applyAlignment="0" applyProtection="0"/>
    <xf numFmtId="0" fontId="2" fillId="0" borderId="0" applyFill="0" applyBorder="0" applyAlignment="0" applyProtection="0"/>
    <xf numFmtId="0" fontId="2" fillId="0" borderId="0" applyFill="0" applyBorder="0" applyAlignment="0" applyProtection="0"/>
    <xf numFmtId="220" fontId="2" fillId="0" borderId="0" applyFill="0" applyBorder="0" applyAlignment="0" applyProtection="0"/>
    <xf numFmtId="221" fontId="2" fillId="0" borderId="0" applyFill="0" applyBorder="0" applyAlignment="0" applyProtection="0"/>
    <xf numFmtId="222" fontId="2" fillId="0" borderId="0" applyFont="0" applyFill="0" applyBorder="0" applyAlignment="0" applyProtection="0"/>
    <xf numFmtId="222" fontId="2" fillId="0" borderId="0" applyFont="0" applyFill="0" applyBorder="0" applyAlignment="0" applyProtection="0"/>
    <xf numFmtId="223" fontId="2" fillId="0" borderId="0" applyFont="0" applyFill="0" applyBorder="0" applyAlignment="0" applyProtection="0"/>
    <xf numFmtId="223" fontId="2" fillId="0" borderId="0" applyFont="0" applyFill="0" applyBorder="0" applyAlignment="0" applyProtection="0"/>
    <xf numFmtId="208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2" fillId="0" borderId="0" applyFont="0" applyFill="0" applyBorder="0" applyAlignment="0" applyProtection="0"/>
    <xf numFmtId="197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210" fontId="2" fillId="0" borderId="0" applyFont="0" applyFill="0" applyBorder="0" applyAlignment="0" applyProtection="0"/>
    <xf numFmtId="222" fontId="2" fillId="0" borderId="0" applyFont="0" applyFill="0" applyBorder="0" applyAlignment="0" applyProtection="0"/>
    <xf numFmtId="208" fontId="2" fillId="0" borderId="0" applyFont="0" applyFill="0" applyBorder="0" applyAlignment="0" applyProtection="0"/>
    <xf numFmtId="197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08" fontId="2" fillId="0" borderId="0" applyFont="0" applyFill="0" applyBorder="0" applyAlignment="0" applyProtection="0"/>
    <xf numFmtId="208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07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04" fontId="2" fillId="0" borderId="0" applyFont="0" applyFill="0" applyBorder="0" applyAlignment="0" applyProtection="0"/>
    <xf numFmtId="19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221" fontId="2" fillId="0" borderId="0" applyFont="0" applyFill="0" applyBorder="0" applyAlignment="0" applyProtection="0"/>
    <xf numFmtId="222" fontId="2" fillId="0" borderId="0" applyFont="0" applyFill="0" applyBorder="0" applyAlignment="0" applyProtection="0"/>
    <xf numFmtId="208" fontId="2" fillId="0" borderId="0" applyFont="0" applyFill="0" applyBorder="0" applyAlignment="0" applyProtection="0"/>
    <xf numFmtId="204" fontId="2" fillId="0" borderId="0" applyFont="0" applyFill="0" applyBorder="0" applyAlignment="0" applyProtection="0"/>
    <xf numFmtId="221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204" fontId="2" fillId="0" borderId="0" applyFont="0" applyFill="0" applyBorder="0" applyAlignment="0" applyProtection="0"/>
    <xf numFmtId="200" fontId="2" fillId="0" borderId="0" applyFill="0" applyBorder="0" applyAlignment="0" applyProtection="0"/>
    <xf numFmtId="201" fontId="2" fillId="0" borderId="0" applyFill="0" applyBorder="0" applyAlignment="0" applyProtection="0"/>
    <xf numFmtId="201" fontId="2" fillId="0" borderId="0" applyFill="0" applyBorder="0" applyAlignment="0" applyProtection="0"/>
    <xf numFmtId="207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07" fontId="2" fillId="0" borderId="0" applyFont="0" applyFill="0" applyBorder="0" applyAlignment="0" applyProtection="0"/>
    <xf numFmtId="208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8" fontId="2" fillId="0" borderId="0" applyFont="0" applyFill="0" applyBorder="0" applyAlignment="0" applyProtection="0"/>
    <xf numFmtId="212" fontId="2" fillId="0" borderId="0" applyFont="0" applyFill="0" applyBorder="0" applyAlignment="0" applyProtection="0"/>
    <xf numFmtId="208" fontId="2" fillId="0" borderId="0" applyFont="0" applyFill="0" applyBorder="0" applyAlignment="0" applyProtection="0"/>
    <xf numFmtId="204" fontId="2" fillId="0" borderId="0" applyFont="0" applyFill="0" applyBorder="0" applyAlignment="0" applyProtection="0"/>
    <xf numFmtId="210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208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213" fontId="2" fillId="0" borderId="0" applyFont="0" applyFill="0" applyBorder="0" applyAlignment="0" applyProtection="0"/>
    <xf numFmtId="202" fontId="2" fillId="0" borderId="0" applyFill="0" applyBorder="0" applyAlignment="0" applyProtection="0"/>
    <xf numFmtId="202" fontId="2" fillId="0" borderId="0" applyFill="0" applyBorder="0" applyAlignment="0" applyProtection="0"/>
    <xf numFmtId="202" fontId="2" fillId="0" borderId="0" applyFill="0" applyBorder="0" applyAlignment="0" applyProtection="0"/>
    <xf numFmtId="207" fontId="2" fillId="0" borderId="0" applyFont="0" applyFill="0" applyBorder="0" applyAlignment="0" applyProtection="0"/>
    <xf numFmtId="208" fontId="2" fillId="0" borderId="0" applyFont="0" applyFill="0" applyBorder="0" applyAlignment="0" applyProtection="0"/>
    <xf numFmtId="224" fontId="2" fillId="0" borderId="0" applyFill="0" applyBorder="0" applyAlignment="0" applyProtection="0"/>
    <xf numFmtId="208" fontId="2" fillId="0" borderId="0" applyFont="0" applyFill="0" applyBorder="0" applyAlignment="0" applyProtection="0"/>
    <xf numFmtId="204" fontId="2" fillId="0" borderId="0" applyFont="0" applyFill="0" applyBorder="0" applyAlignment="0" applyProtection="0"/>
    <xf numFmtId="225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02" fontId="2" fillId="0" borderId="0" applyFill="0" applyBorder="0" applyAlignment="0" applyProtection="0"/>
    <xf numFmtId="202" fontId="2" fillId="0" borderId="0" applyFont="0" applyFill="0" applyBorder="0" applyAlignment="0" applyProtection="0"/>
    <xf numFmtId="202" fontId="2" fillId="0" borderId="0" applyFont="0" applyFill="0" applyBorder="0" applyAlignment="0" applyProtection="0"/>
    <xf numFmtId="202" fontId="2" fillId="0" borderId="0" applyFill="0" applyBorder="0" applyAlignment="0" applyProtection="0"/>
    <xf numFmtId="202" fontId="2" fillId="0" borderId="0" applyFill="0" applyBorder="0" applyAlignment="0" applyProtection="0"/>
    <xf numFmtId="22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00" fontId="2" fillId="0" borderId="0" applyFont="0" applyFill="0" applyBorder="0" applyAlignment="0" applyProtection="0"/>
    <xf numFmtId="227" fontId="2" fillId="0" borderId="0" applyFont="0" applyFill="0" applyBorder="0" applyAlignment="0" applyProtection="0"/>
    <xf numFmtId="228" fontId="2" fillId="0" borderId="0" applyFont="0" applyFill="0" applyBorder="0" applyAlignment="0" applyProtection="0"/>
    <xf numFmtId="200" fontId="2" fillId="0" borderId="0" applyFill="0" applyBorder="0" applyAlignment="0" applyProtection="0"/>
    <xf numFmtId="207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02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2" fillId="0" borderId="0" applyFont="0" applyFill="0" applyBorder="0" applyAlignment="0" applyProtection="0"/>
    <xf numFmtId="228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06" fontId="2" fillId="0" borderId="0" applyFont="0" applyFill="0" applyBorder="0" applyAlignment="0" applyProtection="0"/>
    <xf numFmtId="222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22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198" fontId="48" fillId="0" borderId="0" applyFont="0" applyFill="0" applyBorder="0" applyAlignment="0" applyProtection="0"/>
    <xf numFmtId="191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5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95" fontId="2" fillId="0" borderId="0" applyFont="0" applyFill="0" applyBorder="0" applyAlignment="0" applyProtection="0"/>
    <xf numFmtId="202" fontId="2" fillId="0" borderId="0" applyFont="0" applyFill="0" applyBorder="0" applyAlignment="0" applyProtection="0"/>
    <xf numFmtId="202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00" fontId="2" fillId="0" borderId="0" applyFont="0" applyFill="0" applyBorder="0" applyAlignment="0" applyProtection="0"/>
    <xf numFmtId="230" fontId="2" fillId="0" borderId="0" applyFont="0" applyFill="0" applyBorder="0" applyAlignment="0" applyProtection="0"/>
    <xf numFmtId="231" fontId="2" fillId="0" borderId="0" applyFont="0" applyFill="0" applyBorder="0" applyAlignment="0" applyProtection="0"/>
    <xf numFmtId="232" fontId="2" fillId="0" borderId="0" applyFont="0" applyFill="0" applyBorder="0" applyAlignment="0" applyProtection="0"/>
    <xf numFmtId="186" fontId="2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233" fontId="1" fillId="0" borderId="0" applyFont="0" applyFill="0" applyBorder="0" applyAlignment="0" applyProtection="0"/>
    <xf numFmtId="233" fontId="1" fillId="0" borderId="0" applyFont="0" applyFill="0" applyBorder="0" applyAlignment="0" applyProtection="0"/>
    <xf numFmtId="233" fontId="30" fillId="0" borderId="0" applyFont="0" applyFill="0" applyBorder="0" applyAlignment="0" applyProtection="0"/>
    <xf numFmtId="44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233" fontId="1" fillId="0" borderId="0" applyFont="0" applyFill="0" applyBorder="0" applyAlignment="0" applyProtection="0"/>
    <xf numFmtId="233" fontId="1" fillId="0" borderId="0" applyFont="0" applyFill="0" applyBorder="0" applyAlignment="0" applyProtection="0"/>
    <xf numFmtId="233" fontId="1" fillId="0" borderId="0" applyFont="0" applyFill="0" applyBorder="0" applyAlignment="0" applyProtection="0"/>
    <xf numFmtId="233" fontId="1" fillId="0" borderId="0" applyFont="0" applyFill="0" applyBorder="0" applyAlignment="0" applyProtection="0"/>
    <xf numFmtId="186" fontId="2" fillId="0" borderId="0" applyFill="0" applyBorder="0" applyAlignment="0" applyProtection="0"/>
    <xf numFmtId="214" fontId="2" fillId="0" borderId="0" applyFont="0" applyFill="0" applyBorder="0" applyAlignment="0" applyProtection="0"/>
    <xf numFmtId="214" fontId="2" fillId="0" borderId="0" applyFont="0" applyFill="0" applyBorder="0" applyAlignment="0" applyProtection="0"/>
    <xf numFmtId="214" fontId="2" fillId="0" borderId="0" applyFont="0" applyFill="0" applyBorder="0" applyAlignment="0" applyProtection="0"/>
    <xf numFmtId="214" fontId="2" fillId="0" borderId="0" applyFont="0" applyFill="0" applyBorder="0" applyAlignment="0" applyProtection="0"/>
    <xf numFmtId="214" fontId="2" fillId="0" borderId="0" applyFont="0" applyFill="0" applyBorder="0" applyAlignment="0" applyProtection="0"/>
    <xf numFmtId="214" fontId="2" fillId="0" borderId="0" applyFont="0" applyFill="0" applyBorder="0" applyAlignment="0" applyProtection="0"/>
    <xf numFmtId="214" fontId="2" fillId="0" borderId="0" applyFont="0" applyFill="0" applyBorder="0" applyAlignment="0" applyProtection="0"/>
    <xf numFmtId="214" fontId="2" fillId="0" borderId="0" applyFont="0" applyFill="0" applyBorder="0" applyAlignment="0" applyProtection="0"/>
    <xf numFmtId="214" fontId="2" fillId="0" borderId="0" applyFont="0" applyFill="0" applyBorder="0" applyAlignment="0" applyProtection="0"/>
    <xf numFmtId="214" fontId="2" fillId="0" borderId="0" applyFont="0" applyFill="0" applyBorder="0" applyAlignment="0" applyProtection="0"/>
    <xf numFmtId="214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214" fontId="2" fillId="0" borderId="0" applyFont="0" applyFill="0" applyBorder="0" applyAlignment="0" applyProtection="0"/>
    <xf numFmtId="214" fontId="2" fillId="0" borderId="0" applyFont="0" applyFill="0" applyBorder="0" applyAlignment="0" applyProtection="0"/>
    <xf numFmtId="214" fontId="2" fillId="0" borderId="0" applyFont="0" applyFill="0" applyBorder="0" applyAlignment="0" applyProtection="0"/>
    <xf numFmtId="214" fontId="2" fillId="0" borderId="0" applyFont="0" applyFill="0" applyBorder="0" applyAlignment="0" applyProtection="0"/>
    <xf numFmtId="214" fontId="2" fillId="0" borderId="0" applyFont="0" applyFill="0" applyBorder="0" applyAlignment="0" applyProtection="0"/>
    <xf numFmtId="214" fontId="2" fillId="0" borderId="0" applyFont="0" applyFill="0" applyBorder="0" applyAlignment="0" applyProtection="0"/>
    <xf numFmtId="214" fontId="2" fillId="0" borderId="0" applyFont="0" applyFill="0" applyBorder="0" applyAlignment="0" applyProtection="0"/>
    <xf numFmtId="214" fontId="2" fillId="0" borderId="0" applyFont="0" applyFill="0" applyBorder="0" applyAlignment="0" applyProtection="0"/>
    <xf numFmtId="214" fontId="2" fillId="0" borderId="0" applyFont="0" applyFill="0" applyBorder="0" applyAlignment="0" applyProtection="0"/>
    <xf numFmtId="214" fontId="2" fillId="0" borderId="0" applyFont="0" applyFill="0" applyBorder="0" applyAlignment="0" applyProtection="0"/>
    <xf numFmtId="208" fontId="1" fillId="0" borderId="0" applyFont="0" applyFill="0" applyBorder="0" applyAlignment="0" applyProtection="0"/>
    <xf numFmtId="208" fontId="1" fillId="0" borderId="0" applyFont="0" applyFill="0" applyBorder="0" applyAlignment="0" applyProtection="0"/>
    <xf numFmtId="208" fontId="1" fillId="0" borderId="0" applyFont="0" applyFill="0" applyBorder="0" applyAlignment="0" applyProtection="0"/>
    <xf numFmtId="208" fontId="1" fillId="0" borderId="0" applyFont="0" applyFill="0" applyBorder="0" applyAlignment="0" applyProtection="0"/>
    <xf numFmtId="214" fontId="2" fillId="0" borderId="0" applyFont="0" applyFill="0" applyBorder="0" applyAlignment="0" applyProtection="0"/>
    <xf numFmtId="234" fontId="48" fillId="0" borderId="0" applyFont="0" applyFill="0" applyBorder="0" applyAlignment="0" applyProtection="0"/>
    <xf numFmtId="210" fontId="2" fillId="0" borderId="0" applyFill="0" applyBorder="0" applyAlignment="0" applyProtection="0"/>
    <xf numFmtId="180" fontId="2" fillId="0" borderId="0" applyFill="0" applyBorder="0" applyAlignment="0" applyProtection="0"/>
    <xf numFmtId="211" fontId="2" fillId="0" borderId="0" applyFill="0" applyBorder="0" applyAlignment="0" applyProtection="0"/>
    <xf numFmtId="173" fontId="2" fillId="0" borderId="0" applyFill="0" applyBorder="0" applyAlignment="0" applyProtection="0"/>
    <xf numFmtId="186" fontId="2" fillId="0" borderId="0" applyFill="0" applyBorder="0" applyAlignment="0" applyProtection="0"/>
    <xf numFmtId="235" fontId="2" fillId="0" borderId="0" applyFont="0" applyFill="0" applyBorder="0" applyAlignment="0" applyProtection="0"/>
    <xf numFmtId="0" fontId="75" fillId="0" borderId="14" applyNumberFormat="0" applyFill="0" applyAlignment="0" applyProtection="0"/>
    <xf numFmtId="0" fontId="76" fillId="0" borderId="15" applyNumberFormat="0" applyFill="0" applyAlignment="0" applyProtection="0"/>
    <xf numFmtId="0" fontId="77" fillId="0" borderId="16" applyNumberFormat="0" applyFill="0" applyAlignment="0" applyProtection="0"/>
    <xf numFmtId="0" fontId="77" fillId="0" borderId="0" applyNumberFormat="0" applyFill="0" applyBorder="0" applyAlignment="0" applyProtection="0"/>
    <xf numFmtId="0" fontId="78" fillId="75" borderId="0" applyNumberFormat="0" applyBorder="0" applyAlignment="0" applyProtection="0"/>
    <xf numFmtId="0" fontId="78" fillId="75" borderId="0" applyNumberFormat="0" applyBorder="0" applyAlignment="0" applyProtection="0"/>
    <xf numFmtId="0" fontId="78" fillId="75" borderId="0" applyNumberFormat="0" applyBorder="0" applyAlignment="0" applyProtection="0"/>
    <xf numFmtId="0" fontId="78" fillId="75" borderId="0" applyNumberFormat="0" applyBorder="0" applyAlignment="0" applyProtection="0"/>
    <xf numFmtId="0" fontId="78" fillId="75" borderId="0" applyNumberFormat="0" applyBorder="0" applyAlignment="0" applyProtection="0"/>
    <xf numFmtId="0" fontId="78" fillId="75" borderId="0" applyNumberFormat="0" applyBorder="0" applyAlignment="0" applyProtection="0"/>
    <xf numFmtId="0" fontId="78" fillId="75" borderId="0" applyNumberFormat="0" applyBorder="0" applyAlignment="0" applyProtection="0"/>
    <xf numFmtId="0" fontId="78" fillId="75" borderId="0" applyNumberFormat="0" applyBorder="0" applyAlignment="0" applyProtection="0"/>
    <xf numFmtId="0" fontId="78" fillId="75" borderId="0" applyNumberFormat="0" applyBorder="0" applyAlignment="0" applyProtection="0"/>
    <xf numFmtId="0" fontId="78" fillId="7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8" fillId="75" borderId="0" applyNumberFormat="0" applyBorder="0" applyAlignment="0" applyProtection="0"/>
    <xf numFmtId="0" fontId="78" fillId="75" borderId="0" applyNumberFormat="0" applyBorder="0" applyAlignment="0" applyProtection="0"/>
    <xf numFmtId="0" fontId="78" fillId="75" borderId="0" applyNumberFormat="0" applyBorder="0" applyAlignment="0" applyProtection="0"/>
    <xf numFmtId="0" fontId="78" fillId="75" borderId="0" applyNumberFormat="0" applyBorder="0" applyAlignment="0" applyProtection="0"/>
    <xf numFmtId="0" fontId="78" fillId="75" borderId="0" applyNumberFormat="0" applyBorder="0" applyAlignment="0" applyProtection="0"/>
    <xf numFmtId="0" fontId="78" fillId="75" borderId="0" applyNumberFormat="0" applyBorder="0" applyAlignment="0" applyProtection="0"/>
    <xf numFmtId="0" fontId="78" fillId="75" borderId="0" applyNumberFormat="0" applyBorder="0" applyAlignment="0" applyProtection="0"/>
    <xf numFmtId="0" fontId="78" fillId="75" borderId="0" applyNumberFormat="0" applyBorder="0" applyAlignment="0" applyProtection="0"/>
    <xf numFmtId="0" fontId="78" fillId="75" borderId="0" applyNumberFormat="0" applyBorder="0" applyAlignment="0" applyProtection="0"/>
    <xf numFmtId="0" fontId="80" fillId="45" borderId="0" applyNumberFormat="0" applyBorder="0" applyAlignment="0" applyProtection="0"/>
    <xf numFmtId="0" fontId="81" fillId="0" borderId="0"/>
    <xf numFmtId="236" fontId="8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>
      <alignment vertical="top"/>
    </xf>
    <xf numFmtId="0" fontId="2" fillId="0" borderId="0"/>
    <xf numFmtId="0" fontId="1" fillId="0" borderId="0"/>
    <xf numFmtId="0" fontId="1" fillId="0" borderId="0"/>
    <xf numFmtId="0" fontId="2" fillId="0" borderId="0">
      <alignment vertical="top"/>
    </xf>
    <xf numFmtId="0" fontId="2" fillId="0" borderId="0">
      <alignment vertical="top"/>
    </xf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 applyFill="0" applyBorder="0" applyAlignment="0" applyProtection="0">
      <protection locked="0"/>
    </xf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top"/>
    </xf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top"/>
    </xf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4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>
      <alignment vertical="top"/>
    </xf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>
      <alignment vertical="top"/>
    </xf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>
      <alignment vertical="top"/>
    </xf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>
      <alignment vertical="top"/>
    </xf>
    <xf numFmtId="0" fontId="1" fillId="0" borderId="0"/>
    <xf numFmtId="0" fontId="1" fillId="0" borderId="0"/>
    <xf numFmtId="0" fontId="2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76" borderId="17" applyNumberFormat="0" applyAlignment="0" applyProtection="0"/>
    <xf numFmtId="0" fontId="2" fillId="76" borderId="17" applyNumberFormat="0" applyAlignment="0" applyProtection="0"/>
    <xf numFmtId="0" fontId="2" fillId="76" borderId="17" applyNumberFormat="0" applyAlignment="0" applyProtection="0"/>
    <xf numFmtId="0" fontId="2" fillId="76" borderId="17" applyNumberFormat="0" applyAlignment="0" applyProtection="0"/>
    <xf numFmtId="0" fontId="2" fillId="76" borderId="17" applyNumberFormat="0" applyAlignment="0" applyProtection="0"/>
    <xf numFmtId="0" fontId="2" fillId="76" borderId="17" applyNumberFormat="0" applyAlignment="0" applyProtection="0"/>
    <xf numFmtId="0" fontId="2" fillId="76" borderId="17" applyNumberFormat="0" applyAlignment="0" applyProtection="0"/>
    <xf numFmtId="0" fontId="2" fillId="76" borderId="17" applyNumberFormat="0" applyAlignment="0" applyProtection="0"/>
    <xf numFmtId="0" fontId="2" fillId="76" borderId="17" applyNumberFormat="0" applyAlignment="0" applyProtection="0"/>
    <xf numFmtId="0" fontId="2" fillId="76" borderId="17" applyNumberFormat="0" applyAlignment="0" applyProtection="0"/>
    <xf numFmtId="0" fontId="2" fillId="33" borderId="18" applyNumberFormat="0" applyFont="0" applyAlignment="0" applyProtection="0"/>
    <xf numFmtId="0" fontId="2" fillId="33" borderId="18" applyNumberFormat="0" applyFont="0" applyAlignment="0" applyProtection="0"/>
    <xf numFmtId="0" fontId="2" fillId="33" borderId="18" applyNumberFormat="0" applyFont="0" applyAlignment="0" applyProtection="0"/>
    <xf numFmtId="0" fontId="2" fillId="33" borderId="18" applyNumberFormat="0" applyFont="0" applyAlignment="0" applyProtection="0"/>
    <xf numFmtId="0" fontId="2" fillId="33" borderId="18" applyNumberFormat="0" applyFont="0" applyAlignment="0" applyProtection="0"/>
    <xf numFmtId="0" fontId="2" fillId="33" borderId="18" applyNumberFormat="0" applyFont="0" applyAlignment="0" applyProtection="0"/>
    <xf numFmtId="0" fontId="2" fillId="33" borderId="18" applyNumberFormat="0" applyFont="0" applyAlignment="0" applyProtection="0"/>
    <xf numFmtId="0" fontId="2" fillId="33" borderId="18" applyNumberFormat="0" applyFont="0" applyAlignment="0" applyProtection="0"/>
    <xf numFmtId="0" fontId="2" fillId="33" borderId="18" applyNumberFormat="0" applyFont="0" applyAlignment="0" applyProtection="0"/>
    <xf numFmtId="0" fontId="2" fillId="33" borderId="18" applyNumberFormat="0" applyFont="0" applyAlignment="0" applyProtection="0"/>
    <xf numFmtId="0" fontId="2" fillId="33" borderId="18" applyNumberFormat="0" applyFont="0" applyAlignment="0" applyProtection="0"/>
    <xf numFmtId="0" fontId="2" fillId="33" borderId="18" applyNumberFormat="0" applyFont="0" applyAlignment="0" applyProtection="0"/>
    <xf numFmtId="0" fontId="2" fillId="33" borderId="18" applyNumberFormat="0" applyFont="0" applyAlignment="0" applyProtection="0"/>
    <xf numFmtId="0" fontId="2" fillId="33" borderId="18" applyNumberFormat="0" applyFont="0" applyAlignment="0" applyProtection="0"/>
    <xf numFmtId="0" fontId="2" fillId="33" borderId="18" applyNumberFormat="0" applyFont="0" applyAlignment="0" applyProtection="0"/>
    <xf numFmtId="0" fontId="2" fillId="33" borderId="18" applyNumberFormat="0" applyFont="0" applyAlignment="0" applyProtection="0"/>
    <xf numFmtId="0" fontId="2" fillId="33" borderId="18" applyNumberFormat="0" applyFont="0" applyAlignment="0" applyProtection="0"/>
    <xf numFmtId="0" fontId="2" fillId="33" borderId="18" applyNumberFormat="0" applyFont="0" applyAlignment="0" applyProtection="0"/>
    <xf numFmtId="0" fontId="2" fillId="33" borderId="18" applyNumberFormat="0" applyFont="0" applyAlignment="0" applyProtection="0"/>
    <xf numFmtId="0" fontId="2" fillId="33" borderId="18" applyNumberFormat="0" applyFont="0" applyAlignment="0" applyProtection="0"/>
    <xf numFmtId="0" fontId="2" fillId="33" borderId="18" applyNumberFormat="0" applyFont="0" applyAlignment="0" applyProtection="0"/>
    <xf numFmtId="0" fontId="2" fillId="76" borderId="17" applyNumberFormat="0" applyAlignment="0" applyProtection="0"/>
    <xf numFmtId="0" fontId="2" fillId="76" borderId="17" applyNumberFormat="0" applyAlignment="0" applyProtection="0"/>
    <xf numFmtId="0" fontId="2" fillId="76" borderId="17" applyNumberFormat="0" applyAlignment="0" applyProtection="0"/>
    <xf numFmtId="0" fontId="2" fillId="76" borderId="17" applyNumberFormat="0" applyAlignment="0" applyProtection="0"/>
    <xf numFmtId="0" fontId="2" fillId="76" borderId="17" applyNumberFormat="0" applyAlignment="0" applyProtection="0"/>
    <xf numFmtId="0" fontId="2" fillId="76" borderId="17" applyNumberFormat="0" applyAlignment="0" applyProtection="0"/>
    <xf numFmtId="0" fontId="2" fillId="76" borderId="17" applyNumberFormat="0" applyAlignment="0" applyProtection="0"/>
    <xf numFmtId="0" fontId="1" fillId="10" borderId="6" applyNumberFormat="0" applyFont="0" applyAlignment="0" applyProtection="0"/>
    <xf numFmtId="0" fontId="1" fillId="10" borderId="6" applyNumberFormat="0" applyFont="0" applyAlignment="0" applyProtection="0"/>
    <xf numFmtId="0" fontId="1" fillId="10" borderId="6" applyNumberFormat="0" applyFont="0" applyAlignment="0" applyProtection="0"/>
    <xf numFmtId="0" fontId="1" fillId="10" borderId="6" applyNumberFormat="0" applyFont="0" applyAlignment="0" applyProtection="0"/>
    <xf numFmtId="0" fontId="30" fillId="33" borderId="18" applyNumberFormat="0" applyFont="0" applyAlignment="0" applyProtection="0"/>
    <xf numFmtId="0" fontId="30" fillId="33" borderId="18" applyNumberFormat="0" applyFont="0" applyAlignment="0" applyProtection="0"/>
    <xf numFmtId="0" fontId="30" fillId="33" borderId="18" applyNumberFormat="0" applyFont="0" applyAlignment="0" applyProtection="0"/>
    <xf numFmtId="0" fontId="2" fillId="76" borderId="17" applyNumberFormat="0" applyAlignment="0" applyProtection="0"/>
    <xf numFmtId="0" fontId="2" fillId="76" borderId="17" applyNumberFormat="0" applyAlignment="0" applyProtection="0"/>
    <xf numFmtId="0" fontId="2" fillId="33" borderId="18" applyNumberFormat="0" applyFont="0" applyAlignment="0" applyProtection="0"/>
    <xf numFmtId="0" fontId="2" fillId="33" borderId="18" applyNumberFormat="0" applyFont="0" applyAlignment="0" applyProtection="0"/>
    <xf numFmtId="0" fontId="2" fillId="33" borderId="18" applyNumberFormat="0" applyFont="0" applyAlignment="0" applyProtection="0"/>
    <xf numFmtId="0" fontId="83" fillId="46" borderId="7" applyNumberFormat="0" applyAlignment="0" applyProtection="0"/>
    <xf numFmtId="0" fontId="84" fillId="46" borderId="12" applyNumberFormat="0" applyAlignment="0" applyProtection="0"/>
    <xf numFmtId="0" fontId="52" fillId="0" borderId="0"/>
    <xf numFmtId="237" fontId="48" fillId="0" borderId="0" applyFont="0" applyFill="0" applyBorder="0" applyAlignment="0" applyProtection="0"/>
    <xf numFmtId="238" fontId="5" fillId="0" borderId="0" applyFont="0" applyFill="0" applyBorder="0" applyAlignment="0" applyProtection="0"/>
    <xf numFmtId="239" fontId="49" fillId="0" borderId="0" applyFont="0" applyFill="0" applyBorder="0" applyAlignment="0" applyProtection="0"/>
    <xf numFmtId="24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241" fontId="48" fillId="0" borderId="0" applyFont="0" applyFill="0" applyBorder="0" applyAlignment="0" applyProtection="0"/>
    <xf numFmtId="242" fontId="5" fillId="0" borderId="0" applyFont="0" applyFill="0" applyBorder="0" applyAlignment="0" applyProtection="0"/>
    <xf numFmtId="220" fontId="49" fillId="0" borderId="0" applyFont="0" applyFill="0" applyBorder="0" applyAlignment="0" applyProtection="0"/>
    <xf numFmtId="243" fontId="48" fillId="0" borderId="0" applyFont="0" applyFill="0" applyBorder="0" applyAlignment="0" applyProtection="0"/>
    <xf numFmtId="244" fontId="5" fillId="0" borderId="0" applyFont="0" applyFill="0" applyBorder="0" applyAlignment="0" applyProtection="0"/>
    <xf numFmtId="205" fontId="49" fillId="0" borderId="0" applyFont="0" applyFill="0" applyBorder="0" applyAlignment="0" applyProtection="0"/>
    <xf numFmtId="245" fontId="48" fillId="0" borderId="0" applyFont="0" applyFill="0" applyBorder="0" applyAlignment="0" applyProtection="0"/>
    <xf numFmtId="246" fontId="5" fillId="0" borderId="0" applyFont="0" applyFill="0" applyBorder="0" applyAlignment="0" applyProtection="0"/>
    <xf numFmtId="247" fontId="4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74" fillId="0" borderId="0" applyNumberFormat="0" applyFont="0" applyFill="0" applyBorder="0" applyAlignment="0" applyProtection="0">
      <alignment horizontal="left"/>
    </xf>
    <xf numFmtId="15" fontId="74" fillId="0" borderId="0" applyFont="0" applyFill="0" applyBorder="0" applyAlignment="0" applyProtection="0"/>
    <xf numFmtId="4" fontId="74" fillId="0" borderId="0" applyFont="0" applyFill="0" applyBorder="0" applyAlignment="0" applyProtection="0"/>
    <xf numFmtId="0" fontId="2" fillId="0" borderId="4">
      <alignment horizontal="center"/>
    </xf>
    <xf numFmtId="3" fontId="74" fillId="0" borderId="0" applyFont="0" applyFill="0" applyBorder="0" applyAlignment="0" applyProtection="0"/>
    <xf numFmtId="0" fontId="74" fillId="77" borderId="0" applyNumberFormat="0" applyFont="0" applyBorder="0" applyAlignment="0" applyProtection="0"/>
    <xf numFmtId="0" fontId="84" fillId="62" borderId="12" applyNumberFormat="0" applyAlignment="0" applyProtection="0"/>
    <xf numFmtId="0" fontId="84" fillId="62" borderId="12" applyNumberFormat="0" applyAlignment="0" applyProtection="0"/>
    <xf numFmtId="0" fontId="84" fillId="62" borderId="12" applyNumberFormat="0" applyAlignment="0" applyProtection="0"/>
    <xf numFmtId="0" fontId="84" fillId="62" borderId="12" applyNumberFormat="0" applyAlignment="0" applyProtection="0"/>
    <xf numFmtId="0" fontId="84" fillId="62" borderId="12" applyNumberFormat="0" applyAlignment="0" applyProtection="0"/>
    <xf numFmtId="0" fontId="84" fillId="62" borderId="12" applyNumberFormat="0" applyAlignment="0" applyProtection="0"/>
    <xf numFmtId="0" fontId="84" fillId="62" borderId="12" applyNumberFormat="0" applyAlignment="0" applyProtection="0"/>
    <xf numFmtId="0" fontId="84" fillId="62" borderId="12" applyNumberFormat="0" applyAlignment="0" applyProtection="0"/>
    <xf numFmtId="0" fontId="84" fillId="62" borderId="12" applyNumberFormat="0" applyAlignment="0" applyProtection="0"/>
    <xf numFmtId="0" fontId="84" fillId="62" borderId="12" applyNumberFormat="0" applyAlignment="0" applyProtection="0"/>
    <xf numFmtId="0" fontId="85" fillId="35" borderId="7" applyNumberFormat="0" applyAlignment="0" applyProtection="0"/>
    <xf numFmtId="0" fontId="85" fillId="35" borderId="7" applyNumberFormat="0" applyAlignment="0" applyProtection="0"/>
    <xf numFmtId="0" fontId="85" fillId="35" borderId="7" applyNumberFormat="0" applyAlignment="0" applyProtection="0"/>
    <xf numFmtId="0" fontId="85" fillId="35" borderId="7" applyNumberFormat="0" applyAlignment="0" applyProtection="0"/>
    <xf numFmtId="0" fontId="85" fillId="35" borderId="7" applyNumberFormat="0" applyAlignment="0" applyProtection="0"/>
    <xf numFmtId="0" fontId="85" fillId="35" borderId="7" applyNumberFormat="0" applyAlignment="0" applyProtection="0"/>
    <xf numFmtId="0" fontId="85" fillId="35" borderId="7" applyNumberFormat="0" applyAlignment="0" applyProtection="0"/>
    <xf numFmtId="0" fontId="85" fillId="35" borderId="7" applyNumberFormat="0" applyAlignment="0" applyProtection="0"/>
    <xf numFmtId="0" fontId="85" fillId="35" borderId="7" applyNumberFormat="0" applyAlignment="0" applyProtection="0"/>
    <xf numFmtId="0" fontId="85" fillId="35" borderId="7" applyNumberFormat="0" applyAlignment="0" applyProtection="0"/>
    <xf numFmtId="0" fontId="85" fillId="35" borderId="7" applyNumberFormat="0" applyAlignment="0" applyProtection="0"/>
    <xf numFmtId="0" fontId="85" fillId="35" borderId="7" applyNumberFormat="0" applyAlignment="0" applyProtection="0"/>
    <xf numFmtId="0" fontId="85" fillId="35" borderId="7" applyNumberFormat="0" applyAlignment="0" applyProtection="0"/>
    <xf numFmtId="0" fontId="85" fillId="35" borderId="7" applyNumberFormat="0" applyAlignment="0" applyProtection="0"/>
    <xf numFmtId="0" fontId="85" fillId="35" borderId="7" applyNumberFormat="0" applyAlignment="0" applyProtection="0"/>
    <xf numFmtId="0" fontId="85" fillId="35" borderId="7" applyNumberFormat="0" applyAlignment="0" applyProtection="0"/>
    <xf numFmtId="0" fontId="85" fillId="35" borderId="7" applyNumberFormat="0" applyAlignment="0" applyProtection="0"/>
    <xf numFmtId="0" fontId="85" fillId="35" borderId="7" applyNumberFormat="0" applyAlignment="0" applyProtection="0"/>
    <xf numFmtId="0" fontId="85" fillId="35" borderId="7" applyNumberFormat="0" applyAlignment="0" applyProtection="0"/>
    <xf numFmtId="0" fontId="85" fillId="35" borderId="7" applyNumberFormat="0" applyAlignment="0" applyProtection="0"/>
    <xf numFmtId="0" fontId="85" fillId="35" borderId="7" applyNumberFormat="0" applyAlignment="0" applyProtection="0"/>
    <xf numFmtId="0" fontId="84" fillId="62" borderId="12" applyNumberFormat="0" applyAlignment="0" applyProtection="0"/>
    <xf numFmtId="0" fontId="84" fillId="62" borderId="12" applyNumberFormat="0" applyAlignment="0" applyProtection="0"/>
    <xf numFmtId="0" fontId="84" fillId="62" borderId="12" applyNumberFormat="0" applyAlignment="0" applyProtection="0"/>
    <xf numFmtId="0" fontId="84" fillId="62" borderId="12" applyNumberFormat="0" applyAlignment="0" applyProtection="0"/>
    <xf numFmtId="0" fontId="84" fillId="62" borderId="12" applyNumberFormat="0" applyAlignment="0" applyProtection="0"/>
    <xf numFmtId="0" fontId="84" fillId="62" borderId="12" applyNumberFormat="0" applyAlignment="0" applyProtection="0"/>
    <xf numFmtId="0" fontId="84" fillId="62" borderId="12" applyNumberFormat="0" applyAlignment="0" applyProtection="0"/>
    <xf numFmtId="0" fontId="84" fillId="62" borderId="12" applyNumberFormat="0" applyAlignment="0" applyProtection="0"/>
    <xf numFmtId="0" fontId="84" fillId="62" borderId="12" applyNumberFormat="0" applyAlignment="0" applyProtection="0"/>
    <xf numFmtId="37" fontId="86" fillId="78" borderId="0" applyNumberFormat="0" applyBorder="0" applyAlignment="0" applyProtection="0"/>
    <xf numFmtId="41" fontId="27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87" fillId="0" borderId="19" applyNumberFormat="0" applyFill="0" applyAlignment="0" applyProtection="0"/>
    <xf numFmtId="0" fontId="24" fillId="0" borderId="0" applyFill="0" applyBorder="0" applyProtection="0">
      <alignment horizontal="left" indent="1"/>
      <protection locked="0"/>
    </xf>
    <xf numFmtId="0" fontId="2" fillId="0" borderId="0"/>
    <xf numFmtId="0" fontId="88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2" fillId="0" borderId="0" applyFill="0" applyBorder="0" applyProtection="0">
      <alignment horizontal="left" vertical="top"/>
    </xf>
    <xf numFmtId="0" fontId="93" fillId="0" borderId="0" applyNumberFormat="0" applyFill="0" applyBorder="0" applyAlignment="0" applyProtection="0"/>
    <xf numFmtId="0" fontId="65" fillId="0" borderId="14" applyNumberFormat="0" applyFill="0" applyAlignment="0" applyProtection="0"/>
    <xf numFmtId="0" fontId="65" fillId="0" borderId="14" applyNumberFormat="0" applyFill="0" applyAlignment="0" applyProtection="0"/>
    <xf numFmtId="0" fontId="65" fillId="0" borderId="14" applyNumberFormat="0" applyFill="0" applyAlignment="0" applyProtection="0"/>
    <xf numFmtId="0" fontId="65" fillId="0" borderId="14" applyNumberFormat="0" applyFill="0" applyAlignment="0" applyProtection="0"/>
    <xf numFmtId="0" fontId="65" fillId="0" borderId="14" applyNumberFormat="0" applyFill="0" applyAlignment="0" applyProtection="0"/>
    <xf numFmtId="0" fontId="65" fillId="0" borderId="14" applyNumberFormat="0" applyFill="0" applyAlignment="0" applyProtection="0"/>
    <xf numFmtId="0" fontId="65" fillId="0" borderId="14" applyNumberFormat="0" applyFill="0" applyAlignment="0" applyProtection="0"/>
    <xf numFmtId="0" fontId="65" fillId="0" borderId="14" applyNumberFormat="0" applyFill="0" applyAlignment="0" applyProtection="0"/>
    <xf numFmtId="0" fontId="65" fillId="0" borderId="14" applyNumberFormat="0" applyFill="0" applyAlignment="0" applyProtection="0"/>
    <xf numFmtId="0" fontId="65" fillId="0" borderId="14" applyNumberFormat="0" applyFill="0" applyAlignment="0" applyProtection="0"/>
    <xf numFmtId="0" fontId="94" fillId="0" borderId="20" applyNumberFormat="0" applyFill="0" applyAlignment="0" applyProtection="0"/>
    <xf numFmtId="0" fontId="94" fillId="0" borderId="20" applyNumberFormat="0" applyFill="0" applyAlignment="0" applyProtection="0"/>
    <xf numFmtId="0" fontId="94" fillId="0" borderId="20" applyNumberFormat="0" applyFill="0" applyAlignment="0" applyProtection="0"/>
    <xf numFmtId="0" fontId="94" fillId="0" borderId="20" applyNumberFormat="0" applyFill="0" applyAlignment="0" applyProtection="0"/>
    <xf numFmtId="0" fontId="94" fillId="0" borderId="20" applyNumberFormat="0" applyFill="0" applyAlignment="0" applyProtection="0"/>
    <xf numFmtId="0" fontId="94" fillId="0" borderId="20" applyNumberFormat="0" applyFill="0" applyAlignment="0" applyProtection="0"/>
    <xf numFmtId="0" fontId="94" fillId="0" borderId="20" applyNumberFormat="0" applyFill="0" applyAlignment="0" applyProtection="0"/>
    <xf numFmtId="0" fontId="94" fillId="0" borderId="20" applyNumberFormat="0" applyFill="0" applyAlignment="0" applyProtection="0"/>
    <xf numFmtId="0" fontId="94" fillId="0" borderId="20" applyNumberFormat="0" applyFill="0" applyAlignment="0" applyProtection="0"/>
    <xf numFmtId="0" fontId="94" fillId="0" borderId="20" applyNumberFormat="0" applyFill="0" applyAlignment="0" applyProtection="0"/>
    <xf numFmtId="0" fontId="94" fillId="0" borderId="20" applyNumberFormat="0" applyFill="0" applyAlignment="0" applyProtection="0"/>
    <xf numFmtId="0" fontId="94" fillId="0" borderId="20" applyNumberFormat="0" applyFill="0" applyAlignment="0" applyProtection="0"/>
    <xf numFmtId="0" fontId="94" fillId="0" borderId="20" applyNumberFormat="0" applyFill="0" applyAlignment="0" applyProtection="0"/>
    <xf numFmtId="0" fontId="94" fillId="0" borderId="20" applyNumberFormat="0" applyFill="0" applyAlignment="0" applyProtection="0"/>
    <xf numFmtId="0" fontId="94" fillId="0" borderId="20" applyNumberFormat="0" applyFill="0" applyAlignment="0" applyProtection="0"/>
    <xf numFmtId="0" fontId="94" fillId="0" borderId="20" applyNumberFormat="0" applyFill="0" applyAlignment="0" applyProtection="0"/>
    <xf numFmtId="0" fontId="94" fillId="0" borderId="20" applyNumberFormat="0" applyFill="0" applyAlignment="0" applyProtection="0"/>
    <xf numFmtId="0" fontId="94" fillId="0" borderId="20" applyNumberFormat="0" applyFill="0" applyAlignment="0" applyProtection="0"/>
    <xf numFmtId="0" fontId="94" fillId="0" borderId="20" applyNumberFormat="0" applyFill="0" applyAlignment="0" applyProtection="0"/>
    <xf numFmtId="0" fontId="94" fillId="0" borderId="20" applyNumberFormat="0" applyFill="0" applyAlignment="0" applyProtection="0"/>
    <xf numFmtId="0" fontId="94" fillId="0" borderId="20" applyNumberFormat="0" applyFill="0" applyAlignment="0" applyProtection="0"/>
    <xf numFmtId="0" fontId="65" fillId="0" borderId="14" applyNumberFormat="0" applyFill="0" applyAlignment="0" applyProtection="0"/>
    <xf numFmtId="0" fontId="65" fillId="0" borderId="14" applyNumberFormat="0" applyFill="0" applyAlignment="0" applyProtection="0"/>
    <xf numFmtId="0" fontId="65" fillId="0" borderId="14" applyNumberFormat="0" applyFill="0" applyAlignment="0" applyProtection="0"/>
    <xf numFmtId="0" fontId="65" fillId="0" borderId="14" applyNumberFormat="0" applyFill="0" applyAlignment="0" applyProtection="0"/>
    <xf numFmtId="0" fontId="65" fillId="0" borderId="14" applyNumberFormat="0" applyFill="0" applyAlignment="0" applyProtection="0"/>
    <xf numFmtId="0" fontId="65" fillId="0" borderId="14" applyNumberFormat="0" applyFill="0" applyAlignment="0" applyProtection="0"/>
    <xf numFmtId="0" fontId="65" fillId="0" borderId="14" applyNumberFormat="0" applyFill="0" applyAlignment="0" applyProtection="0"/>
    <xf numFmtId="0" fontId="65" fillId="0" borderId="14" applyNumberFormat="0" applyFill="0" applyAlignment="0" applyProtection="0"/>
    <xf numFmtId="0" fontId="65" fillId="0" borderId="14" applyNumberFormat="0" applyFill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66" fillId="0" borderId="21" applyNumberFormat="0" applyFill="0" applyAlignment="0" applyProtection="0"/>
    <xf numFmtId="0" fontId="66" fillId="0" borderId="21" applyNumberFormat="0" applyFill="0" applyAlignment="0" applyProtection="0"/>
    <xf numFmtId="0" fontId="66" fillId="0" borderId="21" applyNumberFormat="0" applyFill="0" applyAlignment="0" applyProtection="0"/>
    <xf numFmtId="0" fontId="66" fillId="0" borderId="21" applyNumberFormat="0" applyFill="0" applyAlignment="0" applyProtection="0"/>
    <xf numFmtId="0" fontId="66" fillId="0" borderId="21" applyNumberFormat="0" applyFill="0" applyAlignment="0" applyProtection="0"/>
    <xf numFmtId="0" fontId="66" fillId="0" borderId="21" applyNumberFormat="0" applyFill="0" applyAlignment="0" applyProtection="0"/>
    <xf numFmtId="0" fontId="66" fillId="0" borderId="21" applyNumberFormat="0" applyFill="0" applyAlignment="0" applyProtection="0"/>
    <xf numFmtId="0" fontId="66" fillId="0" borderId="21" applyNumberFormat="0" applyFill="0" applyAlignment="0" applyProtection="0"/>
    <xf numFmtId="0" fontId="66" fillId="0" borderId="21" applyNumberFormat="0" applyFill="0" applyAlignment="0" applyProtection="0"/>
    <xf numFmtId="0" fontId="66" fillId="0" borderId="21" applyNumberFormat="0" applyFill="0" applyAlignment="0" applyProtection="0"/>
    <xf numFmtId="0" fontId="95" fillId="0" borderId="22" applyNumberFormat="0" applyFill="0" applyAlignment="0" applyProtection="0"/>
    <xf numFmtId="0" fontId="95" fillId="0" borderId="22" applyNumberFormat="0" applyFill="0" applyAlignment="0" applyProtection="0"/>
    <xf numFmtId="0" fontId="95" fillId="0" borderId="22" applyNumberFormat="0" applyFill="0" applyAlignment="0" applyProtection="0"/>
    <xf numFmtId="0" fontId="95" fillId="0" borderId="22" applyNumberFormat="0" applyFill="0" applyAlignment="0" applyProtection="0"/>
    <xf numFmtId="0" fontId="95" fillId="0" borderId="22" applyNumberFormat="0" applyFill="0" applyAlignment="0" applyProtection="0"/>
    <xf numFmtId="0" fontId="95" fillId="0" borderId="22" applyNumberFormat="0" applyFill="0" applyAlignment="0" applyProtection="0"/>
    <xf numFmtId="0" fontId="95" fillId="0" borderId="22" applyNumberFormat="0" applyFill="0" applyAlignment="0" applyProtection="0"/>
    <xf numFmtId="0" fontId="95" fillId="0" borderId="22" applyNumberFormat="0" applyFill="0" applyAlignment="0" applyProtection="0"/>
    <xf numFmtId="0" fontId="95" fillId="0" borderId="22" applyNumberFormat="0" applyFill="0" applyAlignment="0" applyProtection="0"/>
    <xf numFmtId="0" fontId="95" fillId="0" borderId="22" applyNumberFormat="0" applyFill="0" applyAlignment="0" applyProtection="0"/>
    <xf numFmtId="0" fontId="95" fillId="0" borderId="22" applyNumberFormat="0" applyFill="0" applyAlignment="0" applyProtection="0"/>
    <xf numFmtId="0" fontId="95" fillId="0" borderId="22" applyNumberFormat="0" applyFill="0" applyAlignment="0" applyProtection="0"/>
    <xf numFmtId="0" fontId="95" fillId="0" borderId="22" applyNumberFormat="0" applyFill="0" applyAlignment="0" applyProtection="0"/>
    <xf numFmtId="0" fontId="95" fillId="0" borderId="22" applyNumberFormat="0" applyFill="0" applyAlignment="0" applyProtection="0"/>
    <xf numFmtId="0" fontId="95" fillId="0" borderId="22" applyNumberFormat="0" applyFill="0" applyAlignment="0" applyProtection="0"/>
    <xf numFmtId="0" fontId="95" fillId="0" borderId="22" applyNumberFormat="0" applyFill="0" applyAlignment="0" applyProtection="0"/>
    <xf numFmtId="0" fontId="95" fillId="0" borderId="22" applyNumberFormat="0" applyFill="0" applyAlignment="0" applyProtection="0"/>
    <xf numFmtId="0" fontId="95" fillId="0" borderId="22" applyNumberFormat="0" applyFill="0" applyAlignment="0" applyProtection="0"/>
    <xf numFmtId="0" fontId="95" fillId="0" borderId="22" applyNumberFormat="0" applyFill="0" applyAlignment="0" applyProtection="0"/>
    <xf numFmtId="0" fontId="95" fillId="0" borderId="22" applyNumberFormat="0" applyFill="0" applyAlignment="0" applyProtection="0"/>
    <xf numFmtId="0" fontId="95" fillId="0" borderId="22" applyNumberFormat="0" applyFill="0" applyAlignment="0" applyProtection="0"/>
    <xf numFmtId="0" fontId="66" fillId="0" borderId="21" applyNumberFormat="0" applyFill="0" applyAlignment="0" applyProtection="0"/>
    <xf numFmtId="0" fontId="66" fillId="0" borderId="21" applyNumberFormat="0" applyFill="0" applyAlignment="0" applyProtection="0"/>
    <xf numFmtId="0" fontId="66" fillId="0" borderId="21" applyNumberFormat="0" applyFill="0" applyAlignment="0" applyProtection="0"/>
    <xf numFmtId="0" fontId="66" fillId="0" borderId="21" applyNumberFormat="0" applyFill="0" applyAlignment="0" applyProtection="0"/>
    <xf numFmtId="0" fontId="66" fillId="0" borderId="21" applyNumberFormat="0" applyFill="0" applyAlignment="0" applyProtection="0"/>
    <xf numFmtId="0" fontId="66" fillId="0" borderId="21" applyNumberFormat="0" applyFill="0" applyAlignment="0" applyProtection="0"/>
    <xf numFmtId="0" fontId="66" fillId="0" borderId="21" applyNumberFormat="0" applyFill="0" applyAlignment="0" applyProtection="0"/>
    <xf numFmtId="0" fontId="66" fillId="0" borderId="21" applyNumberFormat="0" applyFill="0" applyAlignment="0" applyProtection="0"/>
    <xf numFmtId="0" fontId="66" fillId="0" borderId="21" applyNumberFormat="0" applyFill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60" fillId="0" borderId="23" applyNumberFormat="0" applyFill="0" applyAlignment="0" applyProtection="0"/>
    <xf numFmtId="0" fontId="60" fillId="0" borderId="23" applyNumberFormat="0" applyFill="0" applyAlignment="0" applyProtection="0"/>
    <xf numFmtId="0" fontId="60" fillId="0" borderId="23" applyNumberFormat="0" applyFill="0" applyAlignment="0" applyProtection="0"/>
    <xf numFmtId="0" fontId="60" fillId="0" borderId="23" applyNumberFormat="0" applyFill="0" applyAlignment="0" applyProtection="0"/>
    <xf numFmtId="0" fontId="60" fillId="0" borderId="23" applyNumberFormat="0" applyFill="0" applyAlignment="0" applyProtection="0"/>
    <xf numFmtId="0" fontId="60" fillId="0" borderId="23" applyNumberFormat="0" applyFill="0" applyAlignment="0" applyProtection="0"/>
    <xf numFmtId="0" fontId="60" fillId="0" borderId="23" applyNumberFormat="0" applyFill="0" applyAlignment="0" applyProtection="0"/>
    <xf numFmtId="0" fontId="60" fillId="0" borderId="23" applyNumberFormat="0" applyFill="0" applyAlignment="0" applyProtection="0"/>
    <xf numFmtId="0" fontId="60" fillId="0" borderId="23" applyNumberFormat="0" applyFill="0" applyAlignment="0" applyProtection="0"/>
    <xf numFmtId="0" fontId="60" fillId="0" borderId="23" applyNumberFormat="0" applyFill="0" applyAlignment="0" applyProtection="0"/>
    <xf numFmtId="0" fontId="60" fillId="0" borderId="23" applyNumberFormat="0" applyFill="0" applyAlignment="0" applyProtection="0"/>
    <xf numFmtId="0" fontId="60" fillId="0" borderId="23" applyNumberFormat="0" applyFill="0" applyAlignment="0" applyProtection="0"/>
    <xf numFmtId="0" fontId="60" fillId="0" borderId="23" applyNumberFormat="0" applyFill="0" applyAlignment="0" applyProtection="0"/>
    <xf numFmtId="0" fontId="60" fillId="0" borderId="23" applyNumberFormat="0" applyFill="0" applyAlignment="0" applyProtection="0"/>
    <xf numFmtId="0" fontId="60" fillId="0" borderId="23" applyNumberFormat="0" applyFill="0" applyAlignment="0" applyProtection="0"/>
    <xf numFmtId="0" fontId="60" fillId="0" borderId="23" applyNumberFormat="0" applyFill="0" applyAlignment="0" applyProtection="0"/>
    <xf numFmtId="0" fontId="60" fillId="0" borderId="23" applyNumberFormat="0" applyFill="0" applyAlignment="0" applyProtection="0"/>
    <xf numFmtId="0" fontId="60" fillId="0" borderId="23" applyNumberFormat="0" applyFill="0" applyAlignment="0" applyProtection="0"/>
    <xf numFmtId="0" fontId="60" fillId="0" borderId="23" applyNumberFormat="0" applyFill="0" applyAlignment="0" applyProtection="0"/>
    <xf numFmtId="0" fontId="60" fillId="0" borderId="23" applyNumberFormat="0" applyFill="0" applyAlignment="0" applyProtection="0"/>
    <xf numFmtId="0" fontId="60" fillId="0" borderId="23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7" fillId="0" borderId="19" applyNumberFormat="0" applyFill="0" applyAlignment="0" applyProtection="0"/>
    <xf numFmtId="0" fontId="97" fillId="0" borderId="19" applyNumberFormat="0" applyFill="0" applyAlignment="0" applyProtection="0"/>
    <xf numFmtId="0" fontId="97" fillId="0" borderId="19" applyNumberFormat="0" applyFill="0" applyAlignment="0" applyProtection="0"/>
    <xf numFmtId="0" fontId="97" fillId="0" borderId="19" applyNumberFormat="0" applyFill="0" applyAlignment="0" applyProtection="0"/>
    <xf numFmtId="0" fontId="97" fillId="0" borderId="19" applyNumberFormat="0" applyFill="0" applyAlignment="0" applyProtection="0"/>
    <xf numFmtId="0" fontId="97" fillId="0" borderId="19" applyNumberFormat="0" applyFill="0" applyAlignment="0" applyProtection="0"/>
    <xf numFmtId="0" fontId="97" fillId="0" borderId="19" applyNumberFormat="0" applyFill="0" applyAlignment="0" applyProtection="0"/>
    <xf numFmtId="0" fontId="97" fillId="0" borderId="19" applyNumberFormat="0" applyFill="0" applyAlignment="0" applyProtection="0"/>
    <xf numFmtId="0" fontId="97" fillId="0" borderId="19" applyNumberFormat="0" applyFill="0" applyAlignment="0" applyProtection="0"/>
    <xf numFmtId="0" fontId="97" fillId="0" borderId="19" applyNumberFormat="0" applyFill="0" applyAlignment="0" applyProtection="0"/>
    <xf numFmtId="0" fontId="85" fillId="0" borderId="24" applyNumberFormat="0" applyFill="0" applyAlignment="0" applyProtection="0"/>
    <xf numFmtId="0" fontId="85" fillId="0" borderId="24" applyNumberFormat="0" applyFill="0" applyAlignment="0" applyProtection="0"/>
    <xf numFmtId="0" fontId="85" fillId="0" borderId="24" applyNumberFormat="0" applyFill="0" applyAlignment="0" applyProtection="0"/>
    <xf numFmtId="0" fontId="85" fillId="0" borderId="24" applyNumberFormat="0" applyFill="0" applyAlignment="0" applyProtection="0"/>
    <xf numFmtId="0" fontId="85" fillId="0" borderId="24" applyNumberFormat="0" applyFill="0" applyAlignment="0" applyProtection="0"/>
    <xf numFmtId="0" fontId="85" fillId="0" borderId="24" applyNumberFormat="0" applyFill="0" applyAlignment="0" applyProtection="0"/>
    <xf numFmtId="0" fontId="85" fillId="0" borderId="24" applyNumberFormat="0" applyFill="0" applyAlignment="0" applyProtection="0"/>
    <xf numFmtId="0" fontId="85" fillId="0" borderId="24" applyNumberFormat="0" applyFill="0" applyAlignment="0" applyProtection="0"/>
    <xf numFmtId="0" fontId="85" fillId="0" borderId="24" applyNumberFormat="0" applyFill="0" applyAlignment="0" applyProtection="0"/>
    <xf numFmtId="0" fontId="85" fillId="0" borderId="24" applyNumberFormat="0" applyFill="0" applyAlignment="0" applyProtection="0"/>
    <xf numFmtId="0" fontId="85" fillId="0" borderId="24" applyNumberFormat="0" applyFill="0" applyAlignment="0" applyProtection="0"/>
    <xf numFmtId="0" fontId="85" fillId="0" borderId="24" applyNumberFormat="0" applyFill="0" applyAlignment="0" applyProtection="0"/>
    <xf numFmtId="0" fontId="85" fillId="0" borderId="24" applyNumberFormat="0" applyFill="0" applyAlignment="0" applyProtection="0"/>
    <xf numFmtId="0" fontId="85" fillId="0" borderId="24" applyNumberFormat="0" applyFill="0" applyAlignment="0" applyProtection="0"/>
    <xf numFmtId="0" fontId="85" fillId="0" borderId="24" applyNumberFormat="0" applyFill="0" applyAlignment="0" applyProtection="0"/>
    <xf numFmtId="0" fontId="85" fillId="0" borderId="24" applyNumberFormat="0" applyFill="0" applyAlignment="0" applyProtection="0"/>
    <xf numFmtId="0" fontId="85" fillId="0" borderId="24" applyNumberFormat="0" applyFill="0" applyAlignment="0" applyProtection="0"/>
    <xf numFmtId="0" fontId="85" fillId="0" borderId="24" applyNumberFormat="0" applyFill="0" applyAlignment="0" applyProtection="0"/>
    <xf numFmtId="0" fontId="85" fillId="0" borderId="24" applyNumberFormat="0" applyFill="0" applyAlignment="0" applyProtection="0"/>
    <xf numFmtId="0" fontId="85" fillId="0" borderId="24" applyNumberFormat="0" applyFill="0" applyAlignment="0" applyProtection="0"/>
    <xf numFmtId="0" fontId="85" fillId="0" borderId="24" applyNumberFormat="0" applyFill="0" applyAlignment="0" applyProtection="0"/>
    <xf numFmtId="0" fontId="97" fillId="0" borderId="19" applyNumberFormat="0" applyFill="0" applyAlignment="0" applyProtection="0"/>
    <xf numFmtId="0" fontId="97" fillId="0" borderId="19" applyNumberFormat="0" applyFill="0" applyAlignment="0" applyProtection="0"/>
    <xf numFmtId="0" fontId="97" fillId="0" borderId="19" applyNumberFormat="0" applyFill="0" applyAlignment="0" applyProtection="0"/>
    <xf numFmtId="0" fontId="97" fillId="0" borderId="19" applyNumberFormat="0" applyFill="0" applyAlignment="0" applyProtection="0"/>
    <xf numFmtId="0" fontId="97" fillId="0" borderId="19" applyNumberFormat="0" applyFill="0" applyAlignment="0" applyProtection="0"/>
    <xf numFmtId="0" fontId="97" fillId="0" borderId="19" applyNumberFormat="0" applyFill="0" applyAlignment="0" applyProtection="0"/>
    <xf numFmtId="0" fontId="97" fillId="0" borderId="19" applyNumberFormat="0" applyFill="0" applyAlignment="0" applyProtection="0"/>
    <xf numFmtId="0" fontId="97" fillId="0" borderId="19" applyNumberFormat="0" applyFill="0" applyAlignment="0" applyProtection="0"/>
    <xf numFmtId="0" fontId="97" fillId="0" borderId="19" applyNumberFormat="0" applyFill="0" applyAlignment="0" applyProtection="0"/>
    <xf numFmtId="0" fontId="52" fillId="0" borderId="25"/>
    <xf numFmtId="0" fontId="98" fillId="0" borderId="0" applyNumberFormat="0" applyFill="0" applyBorder="0" applyAlignment="0" applyProtection="0"/>
    <xf numFmtId="0" fontId="31" fillId="33" borderId="18" applyNumberFormat="0" applyFont="0" applyAlignment="0" applyProtection="0"/>
    <xf numFmtId="248" fontId="74" fillId="0" borderId="0" applyFont="0" applyFill="0" applyBorder="0" applyAlignment="0" applyProtection="0"/>
    <xf numFmtId="249" fontId="99" fillId="0" borderId="0" applyFill="0" applyBorder="0" applyAlignment="0" applyProtection="0"/>
    <xf numFmtId="0" fontId="90" fillId="0" borderId="0" applyNumberFormat="0" applyFill="0" applyBorder="0" applyAlignment="0" applyProtection="0"/>
    <xf numFmtId="0" fontId="100" fillId="79" borderId="26" applyNumberFormat="0" applyFont="0" applyAlignment="0" applyProtection="0">
      <protection locked="0"/>
    </xf>
    <xf numFmtId="229" fontId="5" fillId="0" borderId="0" applyFont="0" applyFill="0" applyBorder="0" applyAlignment="0" applyProtection="0"/>
    <xf numFmtId="250" fontId="5" fillId="0" borderId="0" applyFont="0" applyFill="0" applyBorder="0" applyAlignment="0" applyProtection="0"/>
    <xf numFmtId="251" fontId="5" fillId="0" borderId="0" applyFont="0" applyFill="0" applyBorder="0" applyAlignment="0" applyProtection="0"/>
    <xf numFmtId="219" fontId="5" fillId="0" borderId="0" applyFont="0" applyFill="0" applyBorder="0" applyAlignment="0" applyProtection="0"/>
    <xf numFmtId="252" fontId="50" fillId="0" borderId="0" applyFont="0" applyFill="0" applyBorder="0" applyAlignment="0" applyProtection="0"/>
    <xf numFmtId="253" fontId="5" fillId="0" borderId="0" applyFont="0" applyFill="0" applyBorder="0" applyAlignment="0" applyProtection="0"/>
    <xf numFmtId="254" fontId="5" fillId="0" borderId="0" applyFont="0" applyFill="0" applyBorder="0" applyAlignment="0" applyProtection="0"/>
    <xf numFmtId="255" fontId="5" fillId="0" borderId="0" applyFont="0" applyFill="0" applyBorder="0" applyAlignment="0" applyProtection="0"/>
    <xf numFmtId="256" fontId="5" fillId="0" borderId="0" applyFont="0" applyFill="0" applyBorder="0" applyAlignment="0" applyProtection="0"/>
    <xf numFmtId="257" fontId="50" fillId="0" borderId="0" applyFont="0" applyFill="0" applyBorder="0" applyAlignment="0" applyProtection="0"/>
    <xf numFmtId="0" fontId="101" fillId="24" borderId="0" applyNumberFormat="0" applyBorder="0" applyAlignment="0" applyProtection="0"/>
    <xf numFmtId="200" fontId="2" fillId="0" borderId="0" applyFill="0" applyBorder="0" applyAlignment="0" applyProtection="0"/>
    <xf numFmtId="200" fontId="2" fillId="0" borderId="0" applyFill="0" applyBorder="0" applyAlignment="0" applyProtection="0"/>
    <xf numFmtId="200" fontId="2" fillId="0" borderId="0" applyFill="0" applyBorder="0" applyAlignment="0" applyProtection="0"/>
    <xf numFmtId="200" fontId="2" fillId="0" borderId="0" applyFill="0" applyBorder="0" applyAlignment="0" applyProtection="0"/>
    <xf numFmtId="200" fontId="2" fillId="0" borderId="0" applyFill="0" applyBorder="0" applyAlignment="0" applyProtection="0"/>
    <xf numFmtId="200" fontId="2" fillId="0" borderId="0" applyFill="0" applyBorder="0" applyAlignment="0" applyProtection="0"/>
    <xf numFmtId="200" fontId="2" fillId="0" borderId="0" applyFill="0" applyBorder="0" applyAlignment="0" applyProtection="0"/>
    <xf numFmtId="200" fontId="2" fillId="0" borderId="0" applyFill="0" applyBorder="0" applyAlignment="0" applyProtection="0"/>
    <xf numFmtId="200" fontId="2" fillId="0" borderId="0" applyFill="0" applyBorder="0" applyAlignment="0" applyProtection="0"/>
    <xf numFmtId="200" fontId="2" fillId="0" borderId="0" applyFill="0" applyBorder="0" applyAlignment="0" applyProtection="0"/>
    <xf numFmtId="200" fontId="2" fillId="0" borderId="0" applyFill="0" applyBorder="0" applyAlignment="0" applyProtection="0"/>
    <xf numFmtId="200" fontId="2" fillId="0" borderId="0" applyFill="0" applyBorder="0" applyAlignment="0" applyProtection="0"/>
    <xf numFmtId="200" fontId="2" fillId="0" borderId="0" applyFill="0" applyBorder="0" applyAlignment="0" applyProtection="0"/>
    <xf numFmtId="200" fontId="2" fillId="0" borderId="0" applyFill="0" applyBorder="0" applyAlignment="0" applyProtection="0"/>
  </cellStyleXfs>
  <cellXfs count="175">
    <xf numFmtId="0" fontId="0" fillId="0" borderId="0" xfId="0"/>
    <xf numFmtId="0" fontId="2" fillId="0" borderId="0" xfId="2"/>
    <xf numFmtId="0" fontId="3" fillId="0" borderId="0" xfId="2" applyFont="1"/>
    <xf numFmtId="0" fontId="7" fillId="0" borderId="0" xfId="5" applyFont="1" applyFill="1" applyAlignment="1">
      <alignment horizontal="left" vertical="top" wrapText="1"/>
      <protection locked="0"/>
    </xf>
    <xf numFmtId="3" fontId="9" fillId="0" borderId="0" xfId="0" applyNumberFormat="1" applyFont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left" indent="2"/>
      <protection locked="0"/>
    </xf>
    <xf numFmtId="3" fontId="6" fillId="0" borderId="2" xfId="0" applyNumberFormat="1" applyFont="1" applyBorder="1" applyAlignment="1" applyProtection="1">
      <alignment horizontal="center" vertical="center" wrapText="1"/>
      <protection locked="0"/>
    </xf>
    <xf numFmtId="0" fontId="11" fillId="0" borderId="1" xfId="2" applyFont="1" applyBorder="1" applyAlignment="1">
      <alignment horizontal="center"/>
    </xf>
    <xf numFmtId="0" fontId="14" fillId="0" borderId="0" xfId="2" applyFont="1"/>
    <xf numFmtId="0" fontId="10" fillId="2" borderId="0" xfId="2" applyFont="1" applyFill="1"/>
    <xf numFmtId="165" fontId="10" fillId="2" borderId="0" xfId="1" applyNumberFormat="1" applyFont="1" applyFill="1"/>
    <xf numFmtId="0" fontId="11" fillId="0" borderId="0" xfId="2" applyFont="1"/>
    <xf numFmtId="165" fontId="8" fillId="0" borderId="0" xfId="1" applyNumberFormat="1" applyFont="1"/>
    <xf numFmtId="0" fontId="11" fillId="3" borderId="0" xfId="2" applyFont="1" applyFill="1" applyAlignment="1">
      <alignment horizontal="left" indent="1"/>
    </xf>
    <xf numFmtId="165" fontId="6" fillId="3" borderId="0" xfId="1" applyNumberFormat="1" applyFont="1" applyFill="1"/>
    <xf numFmtId="37" fontId="8" fillId="0" borderId="0" xfId="2" applyNumberFormat="1" applyFont="1" applyAlignment="1">
      <alignment horizontal="left" vertical="center" indent="3"/>
    </xf>
    <xf numFmtId="165" fontId="8" fillId="4" borderId="0" xfId="1" applyNumberFormat="1" applyFont="1" applyFill="1" applyAlignment="1">
      <alignment vertical="center"/>
    </xf>
    <xf numFmtId="0" fontId="8" fillId="0" borderId="0" xfId="2" applyFont="1" applyAlignment="1">
      <alignment horizontal="left" indent="1"/>
    </xf>
    <xf numFmtId="0" fontId="8" fillId="0" borderId="0" xfId="2" applyFont="1"/>
    <xf numFmtId="0" fontId="8" fillId="0" borderId="0" xfId="2" applyFont="1" applyAlignment="1">
      <alignment horizontal="left" vertical="center" indent="3"/>
    </xf>
    <xf numFmtId="165" fontId="8" fillId="4" borderId="0" xfId="1" applyNumberFormat="1" applyFont="1" applyFill="1"/>
    <xf numFmtId="0" fontId="8" fillId="0" borderId="0" xfId="2" applyFont="1" applyAlignment="1">
      <alignment horizontal="left" indent="2"/>
    </xf>
    <xf numFmtId="0" fontId="9" fillId="0" borderId="0" xfId="2" applyFont="1"/>
    <xf numFmtId="3" fontId="8" fillId="0" borderId="0" xfId="2" applyNumberFormat="1" applyFont="1"/>
    <xf numFmtId="0" fontId="11" fillId="3" borderId="0" xfId="0" applyFont="1" applyFill="1" applyAlignment="1" applyProtection="1">
      <alignment horizontal="left" indent="1"/>
      <protection locked="0"/>
    </xf>
    <xf numFmtId="0" fontId="16" fillId="0" borderId="0" xfId="3" applyFont="1" applyFill="1">
      <protection locked="0"/>
    </xf>
    <xf numFmtId="166" fontId="17" fillId="0" borderId="0" xfId="4" applyNumberFormat="1" applyFont="1" applyFill="1" applyProtection="1"/>
    <xf numFmtId="167" fontId="17" fillId="0" borderId="0" xfId="4" applyNumberFormat="1" applyFont="1" applyFill="1" applyAlignment="1" applyProtection="1">
      <alignment horizontal="center"/>
    </xf>
    <xf numFmtId="167" fontId="17" fillId="0" borderId="0" xfId="4" applyNumberFormat="1" applyFont="1" applyFill="1" applyProtection="1"/>
    <xf numFmtId="167" fontId="17" fillId="0" borderId="0" xfId="4" applyNumberFormat="1" applyFont="1" applyFill="1" applyAlignment="1" applyProtection="1">
      <alignment vertical="top" wrapText="1"/>
    </xf>
    <xf numFmtId="17" fontId="11" fillId="0" borderId="1" xfId="2" applyNumberFormat="1" applyFont="1" applyBorder="1" applyAlignment="1">
      <alignment horizontal="center"/>
    </xf>
    <xf numFmtId="0" fontId="8" fillId="0" borderId="0" xfId="2" applyFont="1" applyAlignment="1">
      <alignment horizontal="left" indent="3"/>
    </xf>
    <xf numFmtId="169" fontId="8" fillId="4" borderId="0" xfId="1" applyNumberFormat="1" applyFont="1" applyFill="1" applyAlignment="1">
      <alignment vertical="center"/>
    </xf>
    <xf numFmtId="165" fontId="14" fillId="0" borderId="0" xfId="2" applyNumberFormat="1" applyFont="1"/>
    <xf numFmtId="165" fontId="14" fillId="4" borderId="0" xfId="1" applyNumberFormat="1" applyFont="1" applyFill="1" applyAlignment="1">
      <alignment vertical="center"/>
    </xf>
    <xf numFmtId="3" fontId="6" fillId="0" borderId="1" xfId="0" applyNumberFormat="1" applyFont="1" applyBorder="1" applyAlignment="1" applyProtection="1">
      <alignment vertical="center" wrapText="1"/>
      <protection locked="0"/>
    </xf>
    <xf numFmtId="0" fontId="10" fillId="2" borderId="0" xfId="0" applyFont="1" applyFill="1" applyAlignment="1" applyProtection="1">
      <alignment vertical="center"/>
      <protection locked="0"/>
    </xf>
    <xf numFmtId="0" fontId="8" fillId="0" borderId="0" xfId="0" applyFont="1" applyAlignment="1" applyProtection="1">
      <alignment horizontal="left" vertical="center" indent="2"/>
      <protection locked="0"/>
    </xf>
    <xf numFmtId="0" fontId="8" fillId="0" borderId="0" xfId="0" applyFont="1" applyAlignment="1" applyProtection="1">
      <alignment vertical="center"/>
      <protection locked="0"/>
    </xf>
    <xf numFmtId="0" fontId="11" fillId="6" borderId="0" xfId="0" applyFont="1" applyFill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 indent="2"/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10" fillId="2" borderId="0" xfId="0" applyFont="1" applyFill="1" applyAlignment="1" applyProtection="1">
      <alignment horizontal="left" vertical="center"/>
      <protection locked="0"/>
    </xf>
    <xf numFmtId="9" fontId="8" fillId="0" borderId="0" xfId="0" applyNumberFormat="1" applyFont="1" applyAlignment="1" applyProtection="1">
      <alignment horizontal="left" vertical="center" indent="2"/>
      <protection locked="0"/>
    </xf>
    <xf numFmtId="9" fontId="12" fillId="0" borderId="0" xfId="6" applyFont="1" applyAlignment="1">
      <alignment vertical="center"/>
    </xf>
    <xf numFmtId="168" fontId="8" fillId="0" borderId="0" xfId="0" applyNumberFormat="1" applyFont="1" applyAlignment="1" applyProtection="1">
      <alignment horizontal="left" vertical="center"/>
      <protection locked="0"/>
    </xf>
    <xf numFmtId="0" fontId="11" fillId="0" borderId="3" xfId="0" applyFont="1" applyBorder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left" vertical="center" wrapText="1" indent="2"/>
      <protection locked="0"/>
    </xf>
    <xf numFmtId="165" fontId="3" fillId="0" borderId="0" xfId="2" applyNumberFormat="1" applyFont="1"/>
    <xf numFmtId="3" fontId="8" fillId="0" borderId="0" xfId="0" applyNumberFormat="1" applyFont="1" applyAlignment="1" applyProtection="1">
      <alignment vertical="center"/>
      <protection locked="0"/>
    </xf>
    <xf numFmtId="165" fontId="0" fillId="0" borderId="0" xfId="0" applyNumberFormat="1"/>
    <xf numFmtId="0" fontId="0" fillId="0" borderId="0" xfId="0" applyAlignment="1">
      <alignment vertical="center" wrapText="1"/>
    </xf>
    <xf numFmtId="0" fontId="22" fillId="0" borderId="0" xfId="0" applyFont="1" applyAlignment="1">
      <alignment vertical="center" wrapText="1"/>
    </xf>
    <xf numFmtId="165" fontId="22" fillId="0" borderId="0" xfId="1" applyNumberFormat="1" applyFont="1" applyAlignment="1">
      <alignment vertical="center" wrapText="1"/>
    </xf>
    <xf numFmtId="165" fontId="0" fillId="0" borderId="0" xfId="1" applyNumberFormat="1" applyFont="1"/>
    <xf numFmtId="0" fontId="0" fillId="0" borderId="0" xfId="0" applyAlignment="1">
      <alignment horizontal="left" indent="1"/>
    </xf>
    <xf numFmtId="0" fontId="0" fillId="0" borderId="0" xfId="0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165" fontId="10" fillId="2" borderId="0" xfId="8" applyNumberFormat="1" applyFont="1" applyFill="1" applyAlignment="1" applyProtection="1">
      <alignment vertical="center"/>
      <protection locked="0"/>
    </xf>
    <xf numFmtId="165" fontId="8" fillId="4" borderId="0" xfId="8" applyNumberFormat="1" applyFont="1" applyFill="1" applyAlignment="1" applyProtection="1">
      <alignment vertical="center"/>
      <protection locked="0"/>
    </xf>
    <xf numFmtId="165" fontId="14" fillId="4" borderId="0" xfId="8" applyNumberFormat="1" applyFont="1" applyFill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165" fontId="8" fillId="0" borderId="0" xfId="8" applyNumberFormat="1" applyFont="1" applyAlignment="1" applyProtection="1">
      <alignment vertical="center"/>
      <protection locked="0"/>
    </xf>
    <xf numFmtId="165" fontId="18" fillId="5" borderId="0" xfId="8" applyNumberFormat="1" applyFont="1" applyFill="1" applyAlignment="1">
      <alignment vertical="center"/>
    </xf>
    <xf numFmtId="165" fontId="12" fillId="0" borderId="0" xfId="8" applyNumberFormat="1" applyFont="1" applyAlignment="1">
      <alignment vertical="center"/>
    </xf>
    <xf numFmtId="165" fontId="6" fillId="7" borderId="0" xfId="8" applyNumberFormat="1" applyFont="1" applyFill="1" applyAlignment="1">
      <alignment vertical="center" wrapText="1"/>
    </xf>
    <xf numFmtId="165" fontId="12" fillId="4" borderId="0" xfId="8" applyNumberFormat="1" applyFont="1" applyFill="1" applyAlignment="1">
      <alignment vertical="center"/>
    </xf>
    <xf numFmtId="165" fontId="6" fillId="7" borderId="0" xfId="8" applyNumberFormat="1" applyFont="1" applyFill="1" applyAlignment="1">
      <alignment vertical="center"/>
    </xf>
    <xf numFmtId="165" fontId="12" fillId="0" borderId="0" xfId="8" applyNumberFormat="1" applyFont="1" applyFill="1" applyAlignment="1">
      <alignment vertical="center"/>
    </xf>
    <xf numFmtId="165" fontId="14" fillId="7" borderId="0" xfId="8" applyNumberFormat="1" applyFont="1" applyFill="1" applyAlignment="1">
      <alignment vertical="center"/>
    </xf>
    <xf numFmtId="165" fontId="19" fillId="0" borderId="3" xfId="8" applyNumberFormat="1" applyFont="1" applyBorder="1" applyAlignment="1">
      <alignment vertical="center"/>
    </xf>
    <xf numFmtId="165" fontId="14" fillId="0" borderId="0" xfId="8" applyNumberFormat="1" applyFont="1" applyAlignment="1">
      <alignment vertical="center"/>
    </xf>
    <xf numFmtId="0" fontId="8" fillId="4" borderId="0" xfId="0" applyFont="1" applyFill="1" applyAlignment="1" applyProtection="1">
      <alignment vertical="center"/>
      <protection locked="0"/>
    </xf>
    <xf numFmtId="165" fontId="6" fillId="7" borderId="0" xfId="8" applyNumberFormat="1" applyFont="1" applyFill="1"/>
    <xf numFmtId="165" fontId="12" fillId="0" borderId="0" xfId="8" applyNumberFormat="1" applyFont="1"/>
    <xf numFmtId="165" fontId="19" fillId="0" borderId="3" xfId="8" applyNumberFormat="1" applyFont="1" applyBorder="1"/>
    <xf numFmtId="165" fontId="19" fillId="0" borderId="0" xfId="8" applyNumberFormat="1" applyFont="1"/>
    <xf numFmtId="165" fontId="18" fillId="5" borderId="0" xfId="8" applyNumberFormat="1" applyFont="1" applyFill="1"/>
    <xf numFmtId="0" fontId="8" fillId="0" borderId="2" xfId="0" applyFont="1" applyBorder="1" applyAlignment="1" applyProtection="1">
      <alignment vertical="center"/>
      <protection locked="0"/>
    </xf>
    <xf numFmtId="0" fontId="8" fillId="8" borderId="0" xfId="0" applyFont="1" applyFill="1" applyAlignment="1" applyProtection="1">
      <alignment vertical="center"/>
      <protection locked="0"/>
    </xf>
    <xf numFmtId="0" fontId="11" fillId="8" borderId="0" xfId="0" applyFont="1" applyFill="1" applyAlignment="1" applyProtection="1">
      <alignment horizontal="center" vertical="center" wrapText="1"/>
      <protection locked="0"/>
    </xf>
    <xf numFmtId="3" fontId="6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10" fillId="8" borderId="0" xfId="8" applyNumberFormat="1" applyFont="1" applyFill="1" applyAlignment="1" applyProtection="1">
      <alignment vertical="center"/>
      <protection locked="0"/>
    </xf>
    <xf numFmtId="165" fontId="8" fillId="8" borderId="0" xfId="8" applyNumberFormat="1" applyFont="1" applyFill="1" applyAlignment="1" applyProtection="1">
      <alignment vertical="center"/>
      <protection locked="0"/>
    </xf>
    <xf numFmtId="165" fontId="14" fillId="8" borderId="0" xfId="8" applyNumberFormat="1" applyFont="1" applyFill="1" applyAlignment="1" applyProtection="1">
      <alignment vertical="center"/>
      <protection locked="0"/>
    </xf>
    <xf numFmtId="165" fontId="18" fillId="9" borderId="0" xfId="8" applyNumberFormat="1" applyFont="1" applyFill="1" applyAlignment="1">
      <alignment vertical="center"/>
    </xf>
    <xf numFmtId="165" fontId="12" fillId="8" borderId="0" xfId="8" applyNumberFormat="1" applyFont="1" applyFill="1" applyAlignment="1">
      <alignment vertical="center"/>
    </xf>
    <xf numFmtId="165" fontId="6" fillId="9" borderId="0" xfId="8" applyNumberFormat="1" applyFont="1" applyFill="1" applyAlignment="1">
      <alignment vertical="center" wrapText="1"/>
    </xf>
    <xf numFmtId="165" fontId="6" fillId="9" borderId="0" xfId="8" applyNumberFormat="1" applyFont="1" applyFill="1" applyAlignment="1">
      <alignment vertical="center"/>
    </xf>
    <xf numFmtId="9" fontId="12" fillId="8" borderId="0" xfId="6" applyFont="1" applyFill="1" applyAlignment="1">
      <alignment vertical="center"/>
    </xf>
    <xf numFmtId="165" fontId="19" fillId="8" borderId="3" xfId="8" applyNumberFormat="1" applyFont="1" applyFill="1" applyBorder="1" applyAlignment="1">
      <alignment vertical="center"/>
    </xf>
    <xf numFmtId="165" fontId="14" fillId="8" borderId="0" xfId="8" applyNumberFormat="1" applyFont="1" applyFill="1" applyAlignment="1">
      <alignment vertical="center"/>
    </xf>
    <xf numFmtId="165" fontId="19" fillId="8" borderId="3" xfId="8" applyNumberFormat="1" applyFont="1" applyFill="1" applyBorder="1"/>
    <xf numFmtId="165" fontId="12" fillId="8" borderId="0" xfId="8" applyNumberFormat="1" applyFont="1" applyFill="1"/>
    <xf numFmtId="165" fontId="6" fillId="9" borderId="0" xfId="8" applyNumberFormat="1" applyFont="1" applyFill="1"/>
    <xf numFmtId="165" fontId="19" fillId="8" borderId="0" xfId="8" applyNumberFormat="1" applyFont="1" applyFill="1"/>
    <xf numFmtId="165" fontId="18" fillId="9" borderId="0" xfId="8" applyNumberFormat="1" applyFont="1" applyFill="1"/>
    <xf numFmtId="3" fontId="8" fillId="8" borderId="0" xfId="0" applyNumberFormat="1" applyFont="1" applyFill="1" applyAlignment="1" applyProtection="1">
      <alignment vertical="center"/>
      <protection locked="0"/>
    </xf>
    <xf numFmtId="3" fontId="6" fillId="8" borderId="1" xfId="0" applyNumberFormat="1" applyFont="1" applyFill="1" applyBorder="1" applyAlignment="1" applyProtection="1">
      <alignment horizontal="center" vertical="center" wrapText="1"/>
      <protection locked="0"/>
    </xf>
    <xf numFmtId="3" fontId="9" fillId="8" borderId="0" xfId="0" applyNumberFormat="1" applyFont="1" applyFill="1" applyAlignment="1" applyProtection="1">
      <alignment horizontal="center" vertical="center" wrapText="1"/>
      <protection locked="0"/>
    </xf>
    <xf numFmtId="165" fontId="8" fillId="0" borderId="0" xfId="1" applyNumberFormat="1" applyFont="1" applyAlignment="1" applyProtection="1">
      <alignment vertical="center"/>
      <protection locked="0"/>
    </xf>
    <xf numFmtId="0" fontId="8" fillId="8" borderId="0" xfId="0" applyFont="1" applyFill="1" applyAlignment="1" applyProtection="1">
      <alignment horizontal="center" vertical="center"/>
      <protection locked="0"/>
    </xf>
    <xf numFmtId="41" fontId="8" fillId="8" borderId="0" xfId="7" applyFont="1" applyFill="1" applyAlignment="1" applyProtection="1">
      <alignment vertical="center"/>
      <protection locked="0"/>
    </xf>
    <xf numFmtId="165" fontId="14" fillId="0" borderId="0" xfId="1" applyNumberFormat="1" applyFont="1"/>
    <xf numFmtId="165" fontId="15" fillId="0" borderId="0" xfId="1" applyNumberFormat="1" applyFont="1"/>
    <xf numFmtId="0" fontId="15" fillId="0" borderId="0" xfId="0" applyFont="1"/>
    <xf numFmtId="0" fontId="15" fillId="0" borderId="0" xfId="0" applyFont="1" applyAlignment="1" applyProtection="1">
      <alignment horizontal="left" indent="1"/>
      <protection locked="0"/>
    </xf>
    <xf numFmtId="0" fontId="23" fillId="0" borderId="0" xfId="0" applyFont="1" applyAlignment="1">
      <alignment horizontal="center"/>
    </xf>
    <xf numFmtId="165" fontId="15" fillId="0" borderId="0" xfId="1" applyNumberFormat="1" applyFont="1" applyProtection="1">
      <protection locked="0"/>
    </xf>
    <xf numFmtId="165" fontId="15" fillId="0" borderId="0" xfId="0" applyNumberFormat="1" applyFont="1"/>
    <xf numFmtId="165" fontId="23" fillId="0" borderId="0" xfId="0" applyNumberFormat="1" applyFont="1"/>
    <xf numFmtId="259" fontId="2" fillId="0" borderId="0" xfId="2578" applyNumberFormat="1"/>
    <xf numFmtId="0" fontId="2" fillId="0" borderId="0" xfId="2578" applyAlignment="1">
      <alignment vertical="top" wrapText="1"/>
    </xf>
    <xf numFmtId="0" fontId="23" fillId="0" borderId="0" xfId="0" applyFont="1"/>
    <xf numFmtId="165" fontId="23" fillId="0" borderId="0" xfId="1" applyNumberFormat="1" applyFont="1"/>
    <xf numFmtId="0" fontId="2" fillId="0" borderId="0" xfId="0" applyFont="1" applyProtection="1">
      <protection locked="0"/>
    </xf>
    <xf numFmtId="165" fontId="46" fillId="0" borderId="0" xfId="1" applyNumberFormat="1" applyFont="1" applyFill="1" applyProtection="1">
      <protection locked="0"/>
    </xf>
    <xf numFmtId="0" fontId="2" fillId="0" borderId="0" xfId="0" applyFont="1"/>
    <xf numFmtId="258" fontId="15" fillId="0" borderId="0" xfId="8" applyNumberFormat="1" applyFont="1"/>
    <xf numFmtId="258" fontId="23" fillId="0" borderId="0" xfId="8" applyNumberFormat="1" applyFont="1"/>
    <xf numFmtId="0" fontId="2" fillId="0" borderId="0" xfId="0" applyFont="1" applyAlignment="1">
      <alignment vertical="top" wrapText="1"/>
    </xf>
    <xf numFmtId="0" fontId="46" fillId="0" borderId="0" xfId="0" applyFont="1" applyAlignment="1">
      <alignment vertical="top" wrapText="1"/>
    </xf>
    <xf numFmtId="258" fontId="23" fillId="0" borderId="0" xfId="8" applyNumberFormat="1" applyFont="1" applyFill="1"/>
    <xf numFmtId="258" fontId="15" fillId="0" borderId="0" xfId="8" applyNumberFormat="1" applyFont="1" applyFill="1"/>
    <xf numFmtId="258" fontId="15" fillId="0" borderId="0" xfId="0" applyNumberFormat="1" applyFont="1"/>
    <xf numFmtId="43" fontId="15" fillId="0" borderId="0" xfId="8" applyFont="1"/>
    <xf numFmtId="164" fontId="2" fillId="0" borderId="0" xfId="1" applyFont="1"/>
    <xf numFmtId="1" fontId="46" fillId="0" borderId="2" xfId="0" applyNumberFormat="1" applyFont="1" applyBorder="1" applyAlignment="1" applyProtection="1">
      <alignment horizontal="center" vertical="center" wrapText="1"/>
      <protection locked="0"/>
    </xf>
    <xf numFmtId="1" fontId="15" fillId="0" borderId="0" xfId="0" applyNumberFormat="1" applyFont="1" applyAlignment="1">
      <alignment horizontal="center"/>
    </xf>
    <xf numFmtId="3" fontId="5" fillId="0" borderId="0" xfId="2977" applyNumberFormat="1" applyFont="1" applyAlignment="1">
      <alignment horizontal="right" vertical="top" wrapText="1"/>
    </xf>
    <xf numFmtId="3" fontId="86" fillId="0" borderId="0" xfId="2977" applyNumberFormat="1" applyFont="1" applyAlignment="1">
      <alignment horizontal="right" vertical="top" wrapText="1"/>
    </xf>
    <xf numFmtId="164" fontId="102" fillId="0" borderId="0" xfId="1" applyFont="1"/>
    <xf numFmtId="165" fontId="103" fillId="0" borderId="0" xfId="1" applyNumberFormat="1" applyFont="1"/>
    <xf numFmtId="0" fontId="103" fillId="0" borderId="0" xfId="0" applyFont="1"/>
    <xf numFmtId="164" fontId="15" fillId="0" borderId="0" xfId="1" applyFont="1"/>
    <xf numFmtId="3" fontId="15" fillId="0" borderId="0" xfId="0" applyNumberFormat="1" applyFont="1"/>
    <xf numFmtId="165" fontId="15" fillId="0" borderId="0" xfId="1" applyNumberFormat="1" applyFont="1" applyFill="1" applyProtection="1">
      <protection locked="0"/>
    </xf>
    <xf numFmtId="0" fontId="8" fillId="0" borderId="0" xfId="0" applyFont="1" applyProtection="1"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3" fontId="0" fillId="0" borderId="0" xfId="0" applyNumberFormat="1"/>
    <xf numFmtId="0" fontId="10" fillId="2" borderId="0" xfId="0" applyFont="1" applyFill="1" applyProtection="1">
      <protection locked="0"/>
    </xf>
    <xf numFmtId="165" fontId="10" fillId="2" borderId="0" xfId="1" applyNumberFormat="1" applyFont="1" applyFill="1" applyProtection="1">
      <protection locked="0"/>
    </xf>
    <xf numFmtId="0" fontId="11" fillId="0" borderId="0" xfId="0" applyFont="1" applyProtection="1">
      <protection locked="0"/>
    </xf>
    <xf numFmtId="165" fontId="8" fillId="0" borderId="0" xfId="1" applyNumberFormat="1" applyFont="1" applyProtection="1">
      <protection locked="0"/>
    </xf>
    <xf numFmtId="165" fontId="6" fillId="3" borderId="0" xfId="1" applyNumberFormat="1" applyFont="1" applyFill="1" applyProtection="1">
      <protection locked="0"/>
    </xf>
    <xf numFmtId="0" fontId="8" fillId="0" borderId="0" xfId="0" applyFont="1" applyAlignment="1" applyProtection="1">
      <alignment horizontal="left" indent="1"/>
      <protection locked="0"/>
    </xf>
    <xf numFmtId="165" fontId="14" fillId="4" borderId="0" xfId="1" applyNumberFormat="1" applyFont="1" applyFill="1" applyProtection="1">
      <protection locked="0"/>
    </xf>
    <xf numFmtId="9" fontId="8" fillId="0" borderId="0" xfId="0" applyNumberFormat="1" applyFont="1" applyProtection="1">
      <protection locked="0"/>
    </xf>
    <xf numFmtId="9" fontId="8" fillId="0" borderId="0" xfId="6" applyFont="1" applyFill="1" applyBorder="1" applyProtection="1">
      <protection locked="0"/>
    </xf>
    <xf numFmtId="168" fontId="8" fillId="0" borderId="0" xfId="0" applyNumberFormat="1" applyFont="1" applyProtection="1">
      <protection locked="0"/>
    </xf>
    <xf numFmtId="165" fontId="14" fillId="0" borderId="0" xfId="1" applyNumberFormat="1" applyFont="1" applyProtection="1">
      <protection locked="0"/>
    </xf>
    <xf numFmtId="0" fontId="11" fillId="0" borderId="3" xfId="0" applyFont="1" applyBorder="1" applyProtection="1">
      <protection locked="0"/>
    </xf>
    <xf numFmtId="165" fontId="11" fillId="0" borderId="3" xfId="1" applyNumberFormat="1" applyFont="1" applyBorder="1" applyProtection="1">
      <protection locked="0"/>
    </xf>
    <xf numFmtId="165" fontId="11" fillId="0" borderId="0" xfId="1" applyNumberFormat="1" applyFont="1" applyProtection="1">
      <protection locked="0"/>
    </xf>
    <xf numFmtId="0" fontId="14" fillId="0" borderId="0" xfId="0" applyFont="1" applyProtection="1">
      <protection locked="0"/>
    </xf>
    <xf numFmtId="165" fontId="6" fillId="0" borderId="0" xfId="1" applyNumberFormat="1" applyFont="1" applyFill="1" applyProtection="1">
      <protection locked="0"/>
    </xf>
    <xf numFmtId="0" fontId="104" fillId="0" borderId="0" xfId="0" applyFont="1"/>
    <xf numFmtId="0" fontId="10" fillId="0" borderId="0" xfId="0" applyFont="1" applyProtection="1">
      <protection locked="0"/>
    </xf>
    <xf numFmtId="165" fontId="10" fillId="0" borderId="0" xfId="1" applyNumberFormat="1" applyFont="1" applyFill="1" applyProtection="1">
      <protection locked="0"/>
    </xf>
    <xf numFmtId="0" fontId="105" fillId="0" borderId="0" xfId="0" applyFont="1"/>
    <xf numFmtId="165" fontId="14" fillId="0" borderId="0" xfId="1" applyNumberFormat="1" applyFont="1" applyFill="1" applyProtection="1">
      <protection locked="0"/>
    </xf>
    <xf numFmtId="165" fontId="14" fillId="0" borderId="0" xfId="1" applyNumberFormat="1" applyFont="1" applyFill="1" applyBorder="1" applyProtection="1">
      <protection locked="0"/>
    </xf>
    <xf numFmtId="165" fontId="8" fillId="0" borderId="0" xfId="1" applyNumberFormat="1" applyFont="1" applyFill="1" applyBorder="1" applyProtection="1">
      <protection locked="0"/>
    </xf>
    <xf numFmtId="0" fontId="14" fillId="0" borderId="0" xfId="0" applyFont="1"/>
    <xf numFmtId="0" fontId="106" fillId="0" borderId="0" xfId="0" applyFont="1"/>
    <xf numFmtId="0" fontId="7" fillId="0" borderId="0" xfId="0" applyFont="1"/>
    <xf numFmtId="0" fontId="16" fillId="0" borderId="0" xfId="5" applyFont="1" applyFill="1" applyAlignment="1">
      <alignment horizontal="left" vertical="top" wrapText="1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3" fontId="6" fillId="0" borderId="1" xfId="0" applyNumberFormat="1" applyFont="1" applyBorder="1" applyAlignment="1" applyProtection="1">
      <alignment horizontal="center" vertical="center" wrapText="1"/>
      <protection locked="0"/>
    </xf>
    <xf numFmtId="0" fontId="23" fillId="3" borderId="0" xfId="0" applyFont="1" applyFill="1" applyAlignment="1" applyProtection="1">
      <alignment horizontal="center"/>
      <protection locked="0"/>
    </xf>
    <xf numFmtId="0" fontId="23" fillId="3" borderId="0" xfId="0" applyFont="1" applyFill="1" applyAlignment="1" applyProtection="1">
      <alignment horizontal="center" wrapText="1"/>
      <protection locked="0"/>
    </xf>
    <xf numFmtId="0" fontId="0" fillId="0" borderId="0" xfId="0" applyAlignment="1">
      <alignment wrapText="1"/>
    </xf>
  </cellXfs>
  <cellStyles count="3992">
    <cellStyle name=" Task]_x000d__x000a_TaskName=Scan At_x000d__x000a_TaskID=3_x000d__x000a_WorkstationName=SmarTone_x000d__x000a_LastExecuted=0_x000d__x000a_LastSt" xfId="9"/>
    <cellStyle name=" Task]_x000d__x000a_TaskName=Scan At_x000d__x000a_TaskID=3_x000d__x000a_WorkstationName=SmarTone_x000d__x000a_LastExecuted=0_x000d__x000a_LastSt 2" xfId="10"/>
    <cellStyle name="$_Inicial" xfId="11"/>
    <cellStyle name="$_inicial_cero" xfId="12"/>
    <cellStyle name="$_linea_doble" xfId="13"/>
    <cellStyle name="$_linea_doble_cero" xfId="14"/>
    <cellStyle name="$0,000" xfId="15"/>
    <cellStyle name="$0,000.0" xfId="16"/>
    <cellStyle name="%" xfId="17"/>
    <cellStyle name="% 2" xfId="18"/>
    <cellStyle name="% 3" xfId="19"/>
    <cellStyle name="% 4" xfId="20"/>
    <cellStyle name="%_AJUSTES MIC" xfId="21"/>
    <cellStyle name="%_BASE " xfId="22"/>
    <cellStyle name="%_BASE  2" xfId="23"/>
    <cellStyle name="?Q\?1@" xfId="24"/>
    <cellStyle name="?Q\?1@ 2" xfId="25"/>
    <cellStyle name="_04-Anexosagosto-08cxp" xfId="26"/>
    <cellStyle name="_05-AnexosComp.agosto-08" xfId="27"/>
    <cellStyle name="_08 EF con Anexos Ago08" xfId="28"/>
    <cellStyle name="_08 EF con Anexos Ago08_anexo gastos oct2009" xfId="29"/>
    <cellStyle name="_ANEXO 50 JULIO-2" xfId="30"/>
    <cellStyle name="_ANEXO44DICIEMBRE" xfId="31"/>
    <cellStyle name="_ANEXO44DICIEMBRE2007" xfId="32"/>
    <cellStyle name="_ANEXO44DICIEMBRE2007_anexo gastos oct2009" xfId="33"/>
    <cellStyle name="_ANEXO44DICIEMBRE2007-1" xfId="34"/>
    <cellStyle name="_ANEXO44ENERO2009" xfId="35"/>
    <cellStyle name="_ANEXO44FEBREROE2008-3" xfId="36"/>
    <cellStyle name="_ANEXO44FEBREROE2008-3_anexo gastos oct2009" xfId="37"/>
    <cellStyle name="_ANEXO44MARZO2008" xfId="38"/>
    <cellStyle name="_ANEXO44MARZO2008_anexo gastos oct2009" xfId="39"/>
    <cellStyle name="_ANEXO44MARZO2009" xfId="40"/>
    <cellStyle name="_ANEXO44SEPTIEMBRE2009" xfId="41"/>
    <cellStyle name="_ANEXO46DICIEMBRE2006ENTREGA" xfId="42"/>
    <cellStyle name="_Anexos Agosto 2008 Contabilidad General" xfId="43"/>
    <cellStyle name="_Anexos Septiembre 2007" xfId="44"/>
    <cellStyle name="_Anexos Septiembre Activos Fijos" xfId="45"/>
    <cellStyle name="_ANEXOSJULIO2009 ENTREGA" xfId="46"/>
    <cellStyle name="_ANEXOSJUNIO2009ENTREGA" xfId="47"/>
    <cellStyle name="_BCE A FEBRERO MARZ0 15" xfId="48"/>
    <cellStyle name="_E. FIN. MES DE MARZO" xfId="49"/>
    <cellStyle name="_ETB PT Dividendos Decretados Sep-07" xfId="50"/>
    <cellStyle name="_indicadores_operacionales_abril" xfId="51"/>
    <cellStyle name="_Libro11" xfId="52"/>
    <cellStyle name="_Libro1-1" xfId="53"/>
    <cellStyle name="_MMR_v4.2_Ops_unprotected DEF" xfId="54"/>
    <cellStyle name="_Modelo final V17" xfId="55"/>
    <cellStyle name="_registro ajustes mic MARZO" xfId="56"/>
    <cellStyle name="_RESUMEN ANEXOS - 2007-2" xfId="57"/>
    <cellStyle name="_RESUMEN ANEXOS 2008" xfId="58"/>
    <cellStyle name="_RESUMEN ANEXOS 2008.PATRICIA" xfId="59"/>
    <cellStyle name="_Septiembre" xfId="60"/>
    <cellStyle name="0,000.0" xfId="61"/>
    <cellStyle name="0.00%" xfId="62"/>
    <cellStyle name="0000" xfId="63"/>
    <cellStyle name="000000" xfId="64"/>
    <cellStyle name="20% - Accent1" xfId="65"/>
    <cellStyle name="20% - Accent2" xfId="66"/>
    <cellStyle name="20% - Accent3" xfId="67"/>
    <cellStyle name="20% - Accent4" xfId="68"/>
    <cellStyle name="20% - Accent5" xfId="69"/>
    <cellStyle name="20% - Accent6" xfId="70"/>
    <cellStyle name="20% - akcent 1" xfId="71"/>
    <cellStyle name="20% - akcent 2" xfId="72"/>
    <cellStyle name="20% - akcent 3" xfId="73"/>
    <cellStyle name="20% - akcent 4" xfId="74"/>
    <cellStyle name="20% - akcent 5" xfId="75"/>
    <cellStyle name="20% - akcent 6" xfId="76"/>
    <cellStyle name="20% - Énfasis1 10" xfId="77"/>
    <cellStyle name="20% - Énfasis1 11" xfId="78"/>
    <cellStyle name="20% - Énfasis1 12" xfId="79"/>
    <cellStyle name="20% - Énfasis1 13" xfId="80"/>
    <cellStyle name="20% - Énfasis1 14" xfId="81"/>
    <cellStyle name="20% - Énfasis1 15" xfId="82"/>
    <cellStyle name="20% - Énfasis1 16" xfId="83"/>
    <cellStyle name="20% - Énfasis1 17" xfId="84"/>
    <cellStyle name="20% - Énfasis1 18" xfId="85"/>
    <cellStyle name="20% - Énfasis1 19" xfId="86"/>
    <cellStyle name="20% - Énfasis1 2" xfId="87"/>
    <cellStyle name="20% - Énfasis1 2 10" xfId="88"/>
    <cellStyle name="20% - Énfasis1 2 11" xfId="89"/>
    <cellStyle name="20% - Énfasis1 2 12" xfId="90"/>
    <cellStyle name="20% - Énfasis1 2 13" xfId="91"/>
    <cellStyle name="20% - Énfasis1 2 14" xfId="92"/>
    <cellStyle name="20% - Énfasis1 2 15" xfId="93"/>
    <cellStyle name="20% - Énfasis1 2 16" xfId="94"/>
    <cellStyle name="20% - Énfasis1 2 17" xfId="95"/>
    <cellStyle name="20% - Énfasis1 2 18" xfId="96"/>
    <cellStyle name="20% - Énfasis1 2 19" xfId="97"/>
    <cellStyle name="20% - Énfasis1 2 2" xfId="98"/>
    <cellStyle name="20% - Énfasis1 2 20" xfId="99"/>
    <cellStyle name="20% - Énfasis1 2 21" xfId="100"/>
    <cellStyle name="20% - Énfasis1 2 3" xfId="101"/>
    <cellStyle name="20% - Énfasis1 2 4" xfId="102"/>
    <cellStyle name="20% - Énfasis1 2 5" xfId="103"/>
    <cellStyle name="20% - Énfasis1 2 6" xfId="104"/>
    <cellStyle name="20% - Énfasis1 2 7" xfId="105"/>
    <cellStyle name="20% - Énfasis1 2 8" xfId="106"/>
    <cellStyle name="20% - Énfasis1 2 9" xfId="107"/>
    <cellStyle name="20% - Énfasis1 20" xfId="108"/>
    <cellStyle name="20% - Énfasis1 21" xfId="109"/>
    <cellStyle name="20% - Énfasis1 22" xfId="110"/>
    <cellStyle name="20% - Énfasis1 3" xfId="111"/>
    <cellStyle name="20% - Énfasis1 3 2" xfId="112"/>
    <cellStyle name="20% - Énfasis1 4" xfId="113"/>
    <cellStyle name="20% - Énfasis1 5" xfId="114"/>
    <cellStyle name="20% - Énfasis1 6" xfId="115"/>
    <cellStyle name="20% - Énfasis1 7" xfId="116"/>
    <cellStyle name="20% - Énfasis1 8" xfId="117"/>
    <cellStyle name="20% - Énfasis1 9" xfId="118"/>
    <cellStyle name="20% - Énfasis2 10" xfId="119"/>
    <cellStyle name="20% - Énfasis2 11" xfId="120"/>
    <cellStyle name="20% - Énfasis2 12" xfId="121"/>
    <cellStyle name="20% - Énfasis2 13" xfId="122"/>
    <cellStyle name="20% - Énfasis2 14" xfId="123"/>
    <cellStyle name="20% - Énfasis2 15" xfId="124"/>
    <cellStyle name="20% - Énfasis2 16" xfId="125"/>
    <cellStyle name="20% - Énfasis2 17" xfId="126"/>
    <cellStyle name="20% - Énfasis2 18" xfId="127"/>
    <cellStyle name="20% - Énfasis2 19" xfId="128"/>
    <cellStyle name="20% - Énfasis2 2" xfId="129"/>
    <cellStyle name="20% - Énfasis2 2 10" xfId="130"/>
    <cellStyle name="20% - Énfasis2 2 11" xfId="131"/>
    <cellStyle name="20% - Énfasis2 2 12" xfId="132"/>
    <cellStyle name="20% - Énfasis2 2 13" xfId="133"/>
    <cellStyle name="20% - Énfasis2 2 14" xfId="134"/>
    <cellStyle name="20% - Énfasis2 2 15" xfId="135"/>
    <cellStyle name="20% - Énfasis2 2 16" xfId="136"/>
    <cellStyle name="20% - Énfasis2 2 17" xfId="137"/>
    <cellStyle name="20% - Énfasis2 2 18" xfId="138"/>
    <cellStyle name="20% - Énfasis2 2 19" xfId="139"/>
    <cellStyle name="20% - Énfasis2 2 2" xfId="140"/>
    <cellStyle name="20% - Énfasis2 2 20" xfId="141"/>
    <cellStyle name="20% - Énfasis2 2 21" xfId="142"/>
    <cellStyle name="20% - Énfasis2 2 3" xfId="143"/>
    <cellStyle name="20% - Énfasis2 2 4" xfId="144"/>
    <cellStyle name="20% - Énfasis2 2 5" xfId="145"/>
    <cellStyle name="20% - Énfasis2 2 6" xfId="146"/>
    <cellStyle name="20% - Énfasis2 2 7" xfId="147"/>
    <cellStyle name="20% - Énfasis2 2 8" xfId="148"/>
    <cellStyle name="20% - Énfasis2 2 9" xfId="149"/>
    <cellStyle name="20% - Énfasis2 20" xfId="150"/>
    <cellStyle name="20% - Énfasis2 21" xfId="151"/>
    <cellStyle name="20% - Énfasis2 22" xfId="152"/>
    <cellStyle name="20% - Énfasis2 3" xfId="153"/>
    <cellStyle name="20% - Énfasis2 3 2" xfId="154"/>
    <cellStyle name="20% - Énfasis2 4" xfId="155"/>
    <cellStyle name="20% - Énfasis2 5" xfId="156"/>
    <cellStyle name="20% - Énfasis2 6" xfId="157"/>
    <cellStyle name="20% - Énfasis2 7" xfId="158"/>
    <cellStyle name="20% - Énfasis2 8" xfId="159"/>
    <cellStyle name="20% - Énfasis2 9" xfId="160"/>
    <cellStyle name="20% - Énfasis3 10" xfId="161"/>
    <cellStyle name="20% - Énfasis3 11" xfId="162"/>
    <cellStyle name="20% - Énfasis3 12" xfId="163"/>
    <cellStyle name="20% - Énfasis3 13" xfId="164"/>
    <cellStyle name="20% - Énfasis3 14" xfId="165"/>
    <cellStyle name="20% - Énfasis3 15" xfId="166"/>
    <cellStyle name="20% - Énfasis3 16" xfId="167"/>
    <cellStyle name="20% - Énfasis3 17" xfId="168"/>
    <cellStyle name="20% - Énfasis3 18" xfId="169"/>
    <cellStyle name="20% - Énfasis3 19" xfId="170"/>
    <cellStyle name="20% - Énfasis3 2" xfId="171"/>
    <cellStyle name="20% - Énfasis3 2 10" xfId="172"/>
    <cellStyle name="20% - Énfasis3 2 11" xfId="173"/>
    <cellStyle name="20% - Énfasis3 2 12" xfId="174"/>
    <cellStyle name="20% - Énfasis3 2 13" xfId="175"/>
    <cellStyle name="20% - Énfasis3 2 14" xfId="176"/>
    <cellStyle name="20% - Énfasis3 2 15" xfId="177"/>
    <cellStyle name="20% - Énfasis3 2 16" xfId="178"/>
    <cellStyle name="20% - Énfasis3 2 17" xfId="179"/>
    <cellStyle name="20% - Énfasis3 2 18" xfId="180"/>
    <cellStyle name="20% - Énfasis3 2 19" xfId="181"/>
    <cellStyle name="20% - Énfasis3 2 2" xfId="182"/>
    <cellStyle name="20% - Énfasis3 2 20" xfId="183"/>
    <cellStyle name="20% - Énfasis3 2 21" xfId="184"/>
    <cellStyle name="20% - Énfasis3 2 3" xfId="185"/>
    <cellStyle name="20% - Énfasis3 2 4" xfId="186"/>
    <cellStyle name="20% - Énfasis3 2 5" xfId="187"/>
    <cellStyle name="20% - Énfasis3 2 6" xfId="188"/>
    <cellStyle name="20% - Énfasis3 2 7" xfId="189"/>
    <cellStyle name="20% - Énfasis3 2 8" xfId="190"/>
    <cellStyle name="20% - Énfasis3 2 9" xfId="191"/>
    <cellStyle name="20% - Énfasis3 20" xfId="192"/>
    <cellStyle name="20% - Énfasis3 21" xfId="193"/>
    <cellStyle name="20% - Énfasis3 22" xfId="194"/>
    <cellStyle name="20% - Énfasis3 3" xfId="195"/>
    <cellStyle name="20% - Énfasis3 3 2" xfId="196"/>
    <cellStyle name="20% - Énfasis3 4" xfId="197"/>
    <cellStyle name="20% - Énfasis3 5" xfId="198"/>
    <cellStyle name="20% - Énfasis3 6" xfId="199"/>
    <cellStyle name="20% - Énfasis3 7" xfId="200"/>
    <cellStyle name="20% - Énfasis3 8" xfId="201"/>
    <cellStyle name="20% - Énfasis3 9" xfId="202"/>
    <cellStyle name="20% - Énfasis4 10" xfId="203"/>
    <cellStyle name="20% - Énfasis4 11" xfId="204"/>
    <cellStyle name="20% - Énfasis4 12" xfId="205"/>
    <cellStyle name="20% - Énfasis4 13" xfId="206"/>
    <cellStyle name="20% - Énfasis4 14" xfId="207"/>
    <cellStyle name="20% - Énfasis4 15" xfId="208"/>
    <cellStyle name="20% - Énfasis4 16" xfId="209"/>
    <cellStyle name="20% - Énfasis4 17" xfId="210"/>
    <cellStyle name="20% - Énfasis4 18" xfId="211"/>
    <cellStyle name="20% - Énfasis4 19" xfId="212"/>
    <cellStyle name="20% - Énfasis4 2" xfId="213"/>
    <cellStyle name="20% - Énfasis4 2 10" xfId="214"/>
    <cellStyle name="20% - Énfasis4 2 11" xfId="215"/>
    <cellStyle name="20% - Énfasis4 2 12" xfId="216"/>
    <cellStyle name="20% - Énfasis4 2 13" xfId="217"/>
    <cellStyle name="20% - Énfasis4 2 14" xfId="218"/>
    <cellStyle name="20% - Énfasis4 2 15" xfId="219"/>
    <cellStyle name="20% - Énfasis4 2 16" xfId="220"/>
    <cellStyle name="20% - Énfasis4 2 17" xfId="221"/>
    <cellStyle name="20% - Énfasis4 2 18" xfId="222"/>
    <cellStyle name="20% - Énfasis4 2 19" xfId="223"/>
    <cellStyle name="20% - Énfasis4 2 2" xfId="224"/>
    <cellStyle name="20% - Énfasis4 2 20" xfId="225"/>
    <cellStyle name="20% - Énfasis4 2 21" xfId="226"/>
    <cellStyle name="20% - Énfasis4 2 3" xfId="227"/>
    <cellStyle name="20% - Énfasis4 2 4" xfId="228"/>
    <cellStyle name="20% - Énfasis4 2 5" xfId="229"/>
    <cellStyle name="20% - Énfasis4 2 6" xfId="230"/>
    <cellStyle name="20% - Énfasis4 2 7" xfId="231"/>
    <cellStyle name="20% - Énfasis4 2 8" xfId="232"/>
    <cellStyle name="20% - Énfasis4 2 9" xfId="233"/>
    <cellStyle name="20% - Énfasis4 20" xfId="234"/>
    <cellStyle name="20% - Énfasis4 21" xfId="235"/>
    <cellStyle name="20% - Énfasis4 22" xfId="236"/>
    <cellStyle name="20% - Énfasis4 3" xfId="237"/>
    <cellStyle name="20% - Énfasis4 3 2" xfId="238"/>
    <cellStyle name="20% - Énfasis4 4" xfId="239"/>
    <cellStyle name="20% - Énfasis4 5" xfId="240"/>
    <cellStyle name="20% - Énfasis4 6" xfId="241"/>
    <cellStyle name="20% - Énfasis4 7" xfId="242"/>
    <cellStyle name="20% - Énfasis4 8" xfId="243"/>
    <cellStyle name="20% - Énfasis4 9" xfId="244"/>
    <cellStyle name="20% - Énfasis5 10" xfId="245"/>
    <cellStyle name="20% - Énfasis5 11" xfId="246"/>
    <cellStyle name="20% - Énfasis5 12" xfId="247"/>
    <cellStyle name="20% - Énfasis5 13" xfId="248"/>
    <cellStyle name="20% - Énfasis5 14" xfId="249"/>
    <cellStyle name="20% - Énfasis5 15" xfId="250"/>
    <cellStyle name="20% - Énfasis5 16" xfId="251"/>
    <cellStyle name="20% - Énfasis5 17" xfId="252"/>
    <cellStyle name="20% - Énfasis5 18" xfId="253"/>
    <cellStyle name="20% - Énfasis5 19" xfId="254"/>
    <cellStyle name="20% - Énfasis5 2" xfId="255"/>
    <cellStyle name="20% - Énfasis5 2 10" xfId="256"/>
    <cellStyle name="20% - Énfasis5 2 11" xfId="257"/>
    <cellStyle name="20% - Énfasis5 2 12" xfId="258"/>
    <cellStyle name="20% - Énfasis5 2 13" xfId="259"/>
    <cellStyle name="20% - Énfasis5 2 14" xfId="260"/>
    <cellStyle name="20% - Énfasis5 2 15" xfId="261"/>
    <cellStyle name="20% - Énfasis5 2 16" xfId="262"/>
    <cellStyle name="20% - Énfasis5 2 17" xfId="263"/>
    <cellStyle name="20% - Énfasis5 2 18" xfId="264"/>
    <cellStyle name="20% - Énfasis5 2 19" xfId="265"/>
    <cellStyle name="20% - Énfasis5 2 2" xfId="266"/>
    <cellStyle name="20% - Énfasis5 2 20" xfId="267"/>
    <cellStyle name="20% - Énfasis5 2 21" xfId="268"/>
    <cellStyle name="20% - Énfasis5 2 3" xfId="269"/>
    <cellStyle name="20% - Énfasis5 2 4" xfId="270"/>
    <cellStyle name="20% - Énfasis5 2 5" xfId="271"/>
    <cellStyle name="20% - Énfasis5 2 6" xfId="272"/>
    <cellStyle name="20% - Énfasis5 2 7" xfId="273"/>
    <cellStyle name="20% - Énfasis5 2 8" xfId="274"/>
    <cellStyle name="20% - Énfasis5 2 9" xfId="275"/>
    <cellStyle name="20% - Énfasis5 20" xfId="276"/>
    <cellStyle name="20% - Énfasis5 21" xfId="277"/>
    <cellStyle name="20% - Énfasis5 22" xfId="278"/>
    <cellStyle name="20% - Énfasis5 3" xfId="279"/>
    <cellStyle name="20% - Énfasis5 3 2" xfId="280"/>
    <cellStyle name="20% - Énfasis5 4" xfId="281"/>
    <cellStyle name="20% - Énfasis5 5" xfId="282"/>
    <cellStyle name="20% - Énfasis5 6" xfId="283"/>
    <cellStyle name="20% - Énfasis5 7" xfId="284"/>
    <cellStyle name="20% - Énfasis5 8" xfId="285"/>
    <cellStyle name="20% - Énfasis5 9" xfId="286"/>
    <cellStyle name="20% - Énfasis6 10" xfId="287"/>
    <cellStyle name="20% - Énfasis6 11" xfId="288"/>
    <cellStyle name="20% - Énfasis6 12" xfId="289"/>
    <cellStyle name="20% - Énfasis6 13" xfId="290"/>
    <cellStyle name="20% - Énfasis6 14" xfId="291"/>
    <cellStyle name="20% - Énfasis6 15" xfId="292"/>
    <cellStyle name="20% - Énfasis6 16" xfId="293"/>
    <cellStyle name="20% - Énfasis6 17" xfId="294"/>
    <cellStyle name="20% - Énfasis6 18" xfId="295"/>
    <cellStyle name="20% - Énfasis6 19" xfId="296"/>
    <cellStyle name="20% - Énfasis6 2" xfId="297"/>
    <cellStyle name="20% - Énfasis6 2 10" xfId="298"/>
    <cellStyle name="20% - Énfasis6 2 11" xfId="299"/>
    <cellStyle name="20% - Énfasis6 2 12" xfId="300"/>
    <cellStyle name="20% - Énfasis6 2 13" xfId="301"/>
    <cellStyle name="20% - Énfasis6 2 14" xfId="302"/>
    <cellStyle name="20% - Énfasis6 2 15" xfId="303"/>
    <cellStyle name="20% - Énfasis6 2 16" xfId="304"/>
    <cellStyle name="20% - Énfasis6 2 17" xfId="305"/>
    <cellStyle name="20% - Énfasis6 2 18" xfId="306"/>
    <cellStyle name="20% - Énfasis6 2 19" xfId="307"/>
    <cellStyle name="20% - Énfasis6 2 2" xfId="308"/>
    <cellStyle name="20% - Énfasis6 2 20" xfId="309"/>
    <cellStyle name="20% - Énfasis6 2 21" xfId="310"/>
    <cellStyle name="20% - Énfasis6 2 3" xfId="311"/>
    <cellStyle name="20% - Énfasis6 2 4" xfId="312"/>
    <cellStyle name="20% - Énfasis6 2 5" xfId="313"/>
    <cellStyle name="20% - Énfasis6 2 6" xfId="314"/>
    <cellStyle name="20% - Énfasis6 2 7" xfId="315"/>
    <cellStyle name="20% - Énfasis6 2 8" xfId="316"/>
    <cellStyle name="20% - Énfasis6 2 9" xfId="317"/>
    <cellStyle name="20% - Énfasis6 20" xfId="318"/>
    <cellStyle name="20% - Énfasis6 21" xfId="319"/>
    <cellStyle name="20% - Énfasis6 22" xfId="320"/>
    <cellStyle name="20% - Énfasis6 3" xfId="321"/>
    <cellStyle name="20% - Énfasis6 3 2" xfId="322"/>
    <cellStyle name="20% - Énfasis6 4" xfId="323"/>
    <cellStyle name="20% - Énfasis6 5" xfId="324"/>
    <cellStyle name="20% - Énfasis6 6" xfId="325"/>
    <cellStyle name="20% - Énfasis6 7" xfId="326"/>
    <cellStyle name="20% - Énfasis6 8" xfId="327"/>
    <cellStyle name="20% - Énfasis6 9" xfId="328"/>
    <cellStyle name="40% - Accent1" xfId="329"/>
    <cellStyle name="40% - Accent2" xfId="330"/>
    <cellStyle name="40% - Accent3" xfId="331"/>
    <cellStyle name="40% - Accent4" xfId="332"/>
    <cellStyle name="40% - Accent5" xfId="333"/>
    <cellStyle name="40% - Accent6" xfId="334"/>
    <cellStyle name="40% - akcent 2" xfId="335"/>
    <cellStyle name="40% - akcent 3" xfId="336"/>
    <cellStyle name="40% - akcent 4" xfId="337"/>
    <cellStyle name="40% - akcent 5" xfId="338"/>
    <cellStyle name="40% - akcent 6" xfId="339"/>
    <cellStyle name="40% - Énfasis1 10" xfId="340"/>
    <cellStyle name="40% - Énfasis1 11" xfId="341"/>
    <cellStyle name="40% - Énfasis1 12" xfId="342"/>
    <cellStyle name="40% - Énfasis1 13" xfId="343"/>
    <cellStyle name="40% - Énfasis1 14" xfId="344"/>
    <cellStyle name="40% - Énfasis1 15" xfId="345"/>
    <cellStyle name="40% - Énfasis1 16" xfId="346"/>
    <cellStyle name="40% - Énfasis1 17" xfId="347"/>
    <cellStyle name="40% - Énfasis1 18" xfId="348"/>
    <cellStyle name="40% - Énfasis1 19" xfId="349"/>
    <cellStyle name="40% - Énfasis1 2" xfId="350"/>
    <cellStyle name="40% - Énfasis1 2 10" xfId="351"/>
    <cellStyle name="40% - Énfasis1 2 11" xfId="352"/>
    <cellStyle name="40% - Énfasis1 2 12" xfId="353"/>
    <cellStyle name="40% - Énfasis1 2 13" xfId="354"/>
    <cellStyle name="40% - Énfasis1 2 14" xfId="355"/>
    <cellStyle name="40% - Énfasis1 2 15" xfId="356"/>
    <cellStyle name="40% - Énfasis1 2 16" xfId="357"/>
    <cellStyle name="40% - Énfasis1 2 17" xfId="358"/>
    <cellStyle name="40% - Énfasis1 2 18" xfId="359"/>
    <cellStyle name="40% - Énfasis1 2 19" xfId="360"/>
    <cellStyle name="40% - Énfasis1 2 2" xfId="361"/>
    <cellStyle name="40% - Énfasis1 2 20" xfId="362"/>
    <cellStyle name="40% - Énfasis1 2 21" xfId="363"/>
    <cellStyle name="40% - Énfasis1 2 3" xfId="364"/>
    <cellStyle name="40% - Énfasis1 2 4" xfId="365"/>
    <cellStyle name="40% - Énfasis1 2 5" xfId="366"/>
    <cellStyle name="40% - Énfasis1 2 6" xfId="367"/>
    <cellStyle name="40% - Énfasis1 2 7" xfId="368"/>
    <cellStyle name="40% - Énfasis1 2 8" xfId="369"/>
    <cellStyle name="40% - Énfasis1 2 9" xfId="370"/>
    <cellStyle name="40% - Énfasis1 20" xfId="371"/>
    <cellStyle name="40% - Énfasis1 21" xfId="372"/>
    <cellStyle name="40% - Énfasis1 22" xfId="373"/>
    <cellStyle name="40% - Énfasis1 3" xfId="374"/>
    <cellStyle name="40% - Énfasis1 3 2" xfId="375"/>
    <cellStyle name="40% - Énfasis1 4" xfId="376"/>
    <cellStyle name="40% - Énfasis1 5" xfId="377"/>
    <cellStyle name="40% - Énfasis1 6" xfId="378"/>
    <cellStyle name="40% - Énfasis1 7" xfId="379"/>
    <cellStyle name="40% - Énfasis1 8" xfId="380"/>
    <cellStyle name="40% - Énfasis1 9" xfId="381"/>
    <cellStyle name="40% - Énfasis2 10" xfId="382"/>
    <cellStyle name="40% - Énfasis2 11" xfId="383"/>
    <cellStyle name="40% - Énfasis2 12" xfId="384"/>
    <cellStyle name="40% - Énfasis2 13" xfId="385"/>
    <cellStyle name="40% - Énfasis2 14" xfId="386"/>
    <cellStyle name="40% - Énfasis2 15" xfId="387"/>
    <cellStyle name="40% - Énfasis2 16" xfId="388"/>
    <cellStyle name="40% - Énfasis2 17" xfId="389"/>
    <cellStyle name="40% - Énfasis2 18" xfId="390"/>
    <cellStyle name="40% - Énfasis2 19" xfId="391"/>
    <cellStyle name="40% - Énfasis2 2" xfId="392"/>
    <cellStyle name="40% - Énfasis2 2 10" xfId="393"/>
    <cellStyle name="40% - Énfasis2 2 11" xfId="394"/>
    <cellStyle name="40% - Énfasis2 2 12" xfId="395"/>
    <cellStyle name="40% - Énfasis2 2 13" xfId="396"/>
    <cellStyle name="40% - Énfasis2 2 14" xfId="397"/>
    <cellStyle name="40% - Énfasis2 2 15" xfId="398"/>
    <cellStyle name="40% - Énfasis2 2 16" xfId="399"/>
    <cellStyle name="40% - Énfasis2 2 17" xfId="400"/>
    <cellStyle name="40% - Énfasis2 2 18" xfId="401"/>
    <cellStyle name="40% - Énfasis2 2 19" xfId="402"/>
    <cellStyle name="40% - Énfasis2 2 2" xfId="403"/>
    <cellStyle name="40% - Énfasis2 2 20" xfId="404"/>
    <cellStyle name="40% - Énfasis2 2 21" xfId="405"/>
    <cellStyle name="40% - Énfasis2 2 3" xfId="406"/>
    <cellStyle name="40% - Énfasis2 2 4" xfId="407"/>
    <cellStyle name="40% - Énfasis2 2 5" xfId="408"/>
    <cellStyle name="40% - Énfasis2 2 6" xfId="409"/>
    <cellStyle name="40% - Énfasis2 2 7" xfId="410"/>
    <cellStyle name="40% - Énfasis2 2 8" xfId="411"/>
    <cellStyle name="40% - Énfasis2 2 9" xfId="412"/>
    <cellStyle name="40% - Énfasis2 20" xfId="413"/>
    <cellStyle name="40% - Énfasis2 21" xfId="414"/>
    <cellStyle name="40% - Énfasis2 22" xfId="415"/>
    <cellStyle name="40% - Énfasis2 3" xfId="416"/>
    <cellStyle name="40% - Énfasis2 3 2" xfId="417"/>
    <cellStyle name="40% - Énfasis2 4" xfId="418"/>
    <cellStyle name="40% - Énfasis2 5" xfId="419"/>
    <cellStyle name="40% - Énfasis2 6" xfId="420"/>
    <cellStyle name="40% - Énfasis2 7" xfId="421"/>
    <cellStyle name="40% - Énfasis2 8" xfId="422"/>
    <cellStyle name="40% - Énfasis2 9" xfId="423"/>
    <cellStyle name="40% - Énfasis3 10" xfId="424"/>
    <cellStyle name="40% - Énfasis3 11" xfId="425"/>
    <cellStyle name="40% - Énfasis3 12" xfId="426"/>
    <cellStyle name="40% - Énfasis3 13" xfId="427"/>
    <cellStyle name="40% - Énfasis3 14" xfId="428"/>
    <cellStyle name="40% - Énfasis3 15" xfId="429"/>
    <cellStyle name="40% - Énfasis3 16" xfId="430"/>
    <cellStyle name="40% - Énfasis3 17" xfId="431"/>
    <cellStyle name="40% - Énfasis3 18" xfId="432"/>
    <cellStyle name="40% - Énfasis3 19" xfId="433"/>
    <cellStyle name="40% - Énfasis3 2" xfId="434"/>
    <cellStyle name="40% - Énfasis3 2 10" xfId="435"/>
    <cellStyle name="40% - Énfasis3 2 11" xfId="436"/>
    <cellStyle name="40% - Énfasis3 2 12" xfId="437"/>
    <cellStyle name="40% - Énfasis3 2 13" xfId="438"/>
    <cellStyle name="40% - Énfasis3 2 14" xfId="439"/>
    <cellStyle name="40% - Énfasis3 2 15" xfId="440"/>
    <cellStyle name="40% - Énfasis3 2 16" xfId="441"/>
    <cellStyle name="40% - Énfasis3 2 17" xfId="442"/>
    <cellStyle name="40% - Énfasis3 2 18" xfId="443"/>
    <cellStyle name="40% - Énfasis3 2 19" xfId="444"/>
    <cellStyle name="40% - Énfasis3 2 2" xfId="445"/>
    <cellStyle name="40% - Énfasis3 2 20" xfId="446"/>
    <cellStyle name="40% - Énfasis3 2 21" xfId="447"/>
    <cellStyle name="40% - Énfasis3 2 3" xfId="448"/>
    <cellStyle name="40% - Énfasis3 2 4" xfId="449"/>
    <cellStyle name="40% - Énfasis3 2 5" xfId="450"/>
    <cellStyle name="40% - Énfasis3 2 6" xfId="451"/>
    <cellStyle name="40% - Énfasis3 2 7" xfId="452"/>
    <cellStyle name="40% - Énfasis3 2 8" xfId="453"/>
    <cellStyle name="40% - Énfasis3 2 9" xfId="454"/>
    <cellStyle name="40% - Énfasis3 20" xfId="455"/>
    <cellStyle name="40% - Énfasis3 21" xfId="456"/>
    <cellStyle name="40% - Énfasis3 22" xfId="457"/>
    <cellStyle name="40% - Énfasis3 3" xfId="458"/>
    <cellStyle name="40% - Énfasis3 3 2" xfId="459"/>
    <cellStyle name="40% - Énfasis3 4" xfId="460"/>
    <cellStyle name="40% - Énfasis3 5" xfId="461"/>
    <cellStyle name="40% - Énfasis3 6" xfId="462"/>
    <cellStyle name="40% - Énfasis3 7" xfId="463"/>
    <cellStyle name="40% - Énfasis3 8" xfId="464"/>
    <cellStyle name="40% - Énfasis3 9" xfId="465"/>
    <cellStyle name="40% - Énfasis4 10" xfId="466"/>
    <cellStyle name="40% - Énfasis4 11" xfId="467"/>
    <cellStyle name="40% - Énfasis4 12" xfId="468"/>
    <cellStyle name="40% - Énfasis4 13" xfId="469"/>
    <cellStyle name="40% - Énfasis4 14" xfId="470"/>
    <cellStyle name="40% - Énfasis4 15" xfId="471"/>
    <cellStyle name="40% - Énfasis4 16" xfId="472"/>
    <cellStyle name="40% - Énfasis4 17" xfId="473"/>
    <cellStyle name="40% - Énfasis4 18" xfId="474"/>
    <cellStyle name="40% - Énfasis4 19" xfId="475"/>
    <cellStyle name="40% - Énfasis4 2" xfId="476"/>
    <cellStyle name="40% - Énfasis4 2 10" xfId="477"/>
    <cellStyle name="40% - Énfasis4 2 11" xfId="478"/>
    <cellStyle name="40% - Énfasis4 2 12" xfId="479"/>
    <cellStyle name="40% - Énfasis4 2 13" xfId="480"/>
    <cellStyle name="40% - Énfasis4 2 14" xfId="481"/>
    <cellStyle name="40% - Énfasis4 2 15" xfId="482"/>
    <cellStyle name="40% - Énfasis4 2 16" xfId="483"/>
    <cellStyle name="40% - Énfasis4 2 17" xfId="484"/>
    <cellStyle name="40% - Énfasis4 2 18" xfId="485"/>
    <cellStyle name="40% - Énfasis4 2 19" xfId="486"/>
    <cellStyle name="40% - Énfasis4 2 2" xfId="487"/>
    <cellStyle name="40% - Énfasis4 2 20" xfId="488"/>
    <cellStyle name="40% - Énfasis4 2 21" xfId="489"/>
    <cellStyle name="40% - Énfasis4 2 3" xfId="490"/>
    <cellStyle name="40% - Énfasis4 2 4" xfId="491"/>
    <cellStyle name="40% - Énfasis4 2 5" xfId="492"/>
    <cellStyle name="40% - Énfasis4 2 6" xfId="493"/>
    <cellStyle name="40% - Énfasis4 2 7" xfId="494"/>
    <cellStyle name="40% - Énfasis4 2 8" xfId="495"/>
    <cellStyle name="40% - Énfasis4 2 9" xfId="496"/>
    <cellStyle name="40% - Énfasis4 20" xfId="497"/>
    <cellStyle name="40% - Énfasis4 21" xfId="498"/>
    <cellStyle name="40% - Énfasis4 22" xfId="499"/>
    <cellStyle name="40% - Énfasis4 3" xfId="500"/>
    <cellStyle name="40% - Énfasis4 3 2" xfId="501"/>
    <cellStyle name="40% - Énfasis4 4" xfId="502"/>
    <cellStyle name="40% - Énfasis4 5" xfId="503"/>
    <cellStyle name="40% - Énfasis4 6" xfId="504"/>
    <cellStyle name="40% - Énfasis4 7" xfId="505"/>
    <cellStyle name="40% - Énfasis4 8" xfId="506"/>
    <cellStyle name="40% - Énfasis4 9" xfId="507"/>
    <cellStyle name="40% - Énfasis5 10" xfId="508"/>
    <cellStyle name="40% - Énfasis5 11" xfId="509"/>
    <cellStyle name="40% - Énfasis5 12" xfId="510"/>
    <cellStyle name="40% - Énfasis5 13" xfId="511"/>
    <cellStyle name="40% - Énfasis5 14" xfId="512"/>
    <cellStyle name="40% - Énfasis5 15" xfId="513"/>
    <cellStyle name="40% - Énfasis5 16" xfId="514"/>
    <cellStyle name="40% - Énfasis5 17" xfId="515"/>
    <cellStyle name="40% - Énfasis5 18" xfId="516"/>
    <cellStyle name="40% - Énfasis5 19" xfId="517"/>
    <cellStyle name="40% - Énfasis5 2" xfId="518"/>
    <cellStyle name="40% - Énfasis5 2 10" xfId="519"/>
    <cellStyle name="40% - Énfasis5 2 11" xfId="520"/>
    <cellStyle name="40% - Énfasis5 2 12" xfId="521"/>
    <cellStyle name="40% - Énfasis5 2 13" xfId="522"/>
    <cellStyle name="40% - Énfasis5 2 14" xfId="523"/>
    <cellStyle name="40% - Énfasis5 2 15" xfId="524"/>
    <cellStyle name="40% - Énfasis5 2 16" xfId="525"/>
    <cellStyle name="40% - Énfasis5 2 17" xfId="526"/>
    <cellStyle name="40% - Énfasis5 2 18" xfId="527"/>
    <cellStyle name="40% - Énfasis5 2 19" xfId="528"/>
    <cellStyle name="40% - Énfasis5 2 2" xfId="529"/>
    <cellStyle name="40% - Énfasis5 2 20" xfId="530"/>
    <cellStyle name="40% - Énfasis5 2 21" xfId="531"/>
    <cellStyle name="40% - Énfasis5 2 3" xfId="532"/>
    <cellStyle name="40% - Énfasis5 2 4" xfId="533"/>
    <cellStyle name="40% - Énfasis5 2 5" xfId="534"/>
    <cellStyle name="40% - Énfasis5 2 6" xfId="535"/>
    <cellStyle name="40% - Énfasis5 2 7" xfId="536"/>
    <cellStyle name="40% - Énfasis5 2 8" xfId="537"/>
    <cellStyle name="40% - Énfasis5 2 9" xfId="538"/>
    <cellStyle name="40% - Énfasis5 20" xfId="539"/>
    <cellStyle name="40% - Énfasis5 21" xfId="540"/>
    <cellStyle name="40% - Énfasis5 22" xfId="541"/>
    <cellStyle name="40% - Énfasis5 3" xfId="542"/>
    <cellStyle name="40% - Énfasis5 3 2" xfId="543"/>
    <cellStyle name="40% - Énfasis5 4" xfId="544"/>
    <cellStyle name="40% - Énfasis5 5" xfId="545"/>
    <cellStyle name="40% - Énfasis5 6" xfId="546"/>
    <cellStyle name="40% - Énfasis5 7" xfId="547"/>
    <cellStyle name="40% - Énfasis5 8" xfId="548"/>
    <cellStyle name="40% - Énfasis5 9" xfId="549"/>
    <cellStyle name="40% - Énfasis6 10" xfId="550"/>
    <cellStyle name="40% - Énfasis6 11" xfId="551"/>
    <cellStyle name="40% - Énfasis6 12" xfId="552"/>
    <cellStyle name="40% - Énfasis6 13" xfId="553"/>
    <cellStyle name="40% - Énfasis6 14" xfId="554"/>
    <cellStyle name="40% - Énfasis6 15" xfId="555"/>
    <cellStyle name="40% - Énfasis6 16" xfId="556"/>
    <cellStyle name="40% - Énfasis6 17" xfId="557"/>
    <cellStyle name="40% - Énfasis6 18" xfId="558"/>
    <cellStyle name="40% - Énfasis6 19" xfId="559"/>
    <cellStyle name="40% - Énfasis6 2" xfId="560"/>
    <cellStyle name="40% - Énfasis6 2 10" xfId="561"/>
    <cellStyle name="40% - Énfasis6 2 11" xfId="562"/>
    <cellStyle name="40% - Énfasis6 2 12" xfId="563"/>
    <cellStyle name="40% - Énfasis6 2 13" xfId="564"/>
    <cellStyle name="40% - Énfasis6 2 14" xfId="565"/>
    <cellStyle name="40% - Énfasis6 2 15" xfId="566"/>
    <cellStyle name="40% - Énfasis6 2 16" xfId="567"/>
    <cellStyle name="40% - Énfasis6 2 17" xfId="568"/>
    <cellStyle name="40% - Énfasis6 2 18" xfId="569"/>
    <cellStyle name="40% - Énfasis6 2 19" xfId="570"/>
    <cellStyle name="40% - Énfasis6 2 2" xfId="571"/>
    <cellStyle name="40% - Énfasis6 2 20" xfId="572"/>
    <cellStyle name="40% - Énfasis6 2 21" xfId="573"/>
    <cellStyle name="40% - Énfasis6 2 3" xfId="574"/>
    <cellStyle name="40% - Énfasis6 2 4" xfId="575"/>
    <cellStyle name="40% - Énfasis6 2 5" xfId="576"/>
    <cellStyle name="40% - Énfasis6 2 6" xfId="577"/>
    <cellStyle name="40% - Énfasis6 2 7" xfId="578"/>
    <cellStyle name="40% - Énfasis6 2 8" xfId="579"/>
    <cellStyle name="40% - Énfasis6 2 9" xfId="580"/>
    <cellStyle name="40% - Énfasis6 20" xfId="581"/>
    <cellStyle name="40% - Énfasis6 21" xfId="582"/>
    <cellStyle name="40% - Énfasis6 22" xfId="583"/>
    <cellStyle name="40% - Énfasis6 3" xfId="584"/>
    <cellStyle name="40% - Énfasis6 3 2" xfId="585"/>
    <cellStyle name="40% - Énfasis6 4" xfId="586"/>
    <cellStyle name="40% - Énfasis6 5" xfId="587"/>
    <cellStyle name="40% - Énfasis6 6" xfId="588"/>
    <cellStyle name="40% - Énfasis6 7" xfId="589"/>
    <cellStyle name="40% - Énfasis6 8" xfId="590"/>
    <cellStyle name="40% - Énfasis6 9" xfId="591"/>
    <cellStyle name="60% - Accent1" xfId="592"/>
    <cellStyle name="60% - Accent2" xfId="593"/>
    <cellStyle name="60% - Accent3" xfId="594"/>
    <cellStyle name="60% - Accent4" xfId="595"/>
    <cellStyle name="60% - Accent5" xfId="596"/>
    <cellStyle name="60% - Accent6" xfId="597"/>
    <cellStyle name="60% - akcent 1" xfId="598"/>
    <cellStyle name="60% - akcent 1 10" xfId="599"/>
    <cellStyle name="60% - akcent 1 11" xfId="600"/>
    <cellStyle name="60% - akcent 1 2" xfId="601"/>
    <cellStyle name="60% - akcent 1 3" xfId="602"/>
    <cellStyle name="60% - akcent 1 4" xfId="603"/>
    <cellStyle name="60% - akcent 1 5" xfId="604"/>
    <cellStyle name="60% - akcent 1 6" xfId="605"/>
    <cellStyle name="60% - akcent 1 7" xfId="606"/>
    <cellStyle name="60% - akcent 1 8" xfId="607"/>
    <cellStyle name="60% - akcent 1 9" xfId="608"/>
    <cellStyle name="60% - akcent 2" xfId="609"/>
    <cellStyle name="60% - akcent 3" xfId="610"/>
    <cellStyle name="60% - akcent 4" xfId="611"/>
    <cellStyle name="60% - akcent 5" xfId="612"/>
    <cellStyle name="60% - akcent 6" xfId="613"/>
    <cellStyle name="60% - Énfasis1 10" xfId="614"/>
    <cellStyle name="60% - Énfasis1 11" xfId="615"/>
    <cellStyle name="60% - Énfasis1 12" xfId="616"/>
    <cellStyle name="60% - Énfasis1 13" xfId="617"/>
    <cellStyle name="60% - Énfasis1 14" xfId="618"/>
    <cellStyle name="60% - Énfasis1 15" xfId="619"/>
    <cellStyle name="60% - Énfasis1 16" xfId="620"/>
    <cellStyle name="60% - Énfasis1 17" xfId="621"/>
    <cellStyle name="60% - Énfasis1 18" xfId="622"/>
    <cellStyle name="60% - Énfasis1 19" xfId="623"/>
    <cellStyle name="60% - Énfasis1 2" xfId="624"/>
    <cellStyle name="60% - Énfasis1 2 10" xfId="625"/>
    <cellStyle name="60% - Énfasis1 2 11" xfId="626"/>
    <cellStyle name="60% - Énfasis1 2 12" xfId="627"/>
    <cellStyle name="60% - Énfasis1 2 13" xfId="628"/>
    <cellStyle name="60% - Énfasis1 2 14" xfId="629"/>
    <cellStyle name="60% - Énfasis1 2 15" xfId="630"/>
    <cellStyle name="60% - Énfasis1 2 16" xfId="631"/>
    <cellStyle name="60% - Énfasis1 2 17" xfId="632"/>
    <cellStyle name="60% - Énfasis1 2 18" xfId="633"/>
    <cellStyle name="60% - Énfasis1 2 19" xfId="634"/>
    <cellStyle name="60% - Énfasis1 2 2" xfId="635"/>
    <cellStyle name="60% - Énfasis1 2 20" xfId="636"/>
    <cellStyle name="60% - Énfasis1 2 21" xfId="637"/>
    <cellStyle name="60% - Énfasis1 2 3" xfId="638"/>
    <cellStyle name="60% - Énfasis1 2 4" xfId="639"/>
    <cellStyle name="60% - Énfasis1 2 5" xfId="640"/>
    <cellStyle name="60% - Énfasis1 2 6" xfId="641"/>
    <cellStyle name="60% - Énfasis1 2 7" xfId="642"/>
    <cellStyle name="60% - Énfasis1 2 8" xfId="643"/>
    <cellStyle name="60% - Énfasis1 2 9" xfId="644"/>
    <cellStyle name="60% - Énfasis1 20" xfId="645"/>
    <cellStyle name="60% - Énfasis1 21" xfId="646"/>
    <cellStyle name="60% - Énfasis1 3" xfId="647"/>
    <cellStyle name="60% - Énfasis1 4" xfId="648"/>
    <cellStyle name="60% - Énfasis1 5" xfId="649"/>
    <cellStyle name="60% - Énfasis1 6" xfId="650"/>
    <cellStyle name="60% - Énfasis1 7" xfId="651"/>
    <cellStyle name="60% - Énfasis1 8" xfId="652"/>
    <cellStyle name="60% - Énfasis1 9" xfId="653"/>
    <cellStyle name="60% - Énfasis2 10" xfId="654"/>
    <cellStyle name="60% - Énfasis2 11" xfId="655"/>
    <cellStyle name="60% - Énfasis2 12" xfId="656"/>
    <cellStyle name="60% - Énfasis2 13" xfId="657"/>
    <cellStyle name="60% - Énfasis2 14" xfId="658"/>
    <cellStyle name="60% - Énfasis2 15" xfId="659"/>
    <cellStyle name="60% - Énfasis2 16" xfId="660"/>
    <cellStyle name="60% - Énfasis2 17" xfId="661"/>
    <cellStyle name="60% - Énfasis2 18" xfId="662"/>
    <cellStyle name="60% - Énfasis2 19" xfId="663"/>
    <cellStyle name="60% - Énfasis2 2" xfId="664"/>
    <cellStyle name="60% - Énfasis2 2 10" xfId="665"/>
    <cellStyle name="60% - Énfasis2 2 11" xfId="666"/>
    <cellStyle name="60% - Énfasis2 2 12" xfId="667"/>
    <cellStyle name="60% - Énfasis2 2 13" xfId="668"/>
    <cellStyle name="60% - Énfasis2 2 14" xfId="669"/>
    <cellStyle name="60% - Énfasis2 2 15" xfId="670"/>
    <cellStyle name="60% - Énfasis2 2 16" xfId="671"/>
    <cellStyle name="60% - Énfasis2 2 17" xfId="672"/>
    <cellStyle name="60% - Énfasis2 2 18" xfId="673"/>
    <cellStyle name="60% - Énfasis2 2 19" xfId="674"/>
    <cellStyle name="60% - Énfasis2 2 2" xfId="675"/>
    <cellStyle name="60% - Énfasis2 2 20" xfId="676"/>
    <cellStyle name="60% - Énfasis2 2 21" xfId="677"/>
    <cellStyle name="60% - Énfasis2 2 3" xfId="678"/>
    <cellStyle name="60% - Énfasis2 2 4" xfId="679"/>
    <cellStyle name="60% - Énfasis2 2 5" xfId="680"/>
    <cellStyle name="60% - Énfasis2 2 6" xfId="681"/>
    <cellStyle name="60% - Énfasis2 2 7" xfId="682"/>
    <cellStyle name="60% - Énfasis2 2 8" xfId="683"/>
    <cellStyle name="60% - Énfasis2 2 9" xfId="684"/>
    <cellStyle name="60% - Énfasis2 20" xfId="685"/>
    <cellStyle name="60% - Énfasis2 21" xfId="686"/>
    <cellStyle name="60% - Énfasis2 3" xfId="687"/>
    <cellStyle name="60% - Énfasis2 4" xfId="688"/>
    <cellStyle name="60% - Énfasis2 5" xfId="689"/>
    <cellStyle name="60% - Énfasis2 6" xfId="690"/>
    <cellStyle name="60% - Énfasis2 7" xfId="691"/>
    <cellStyle name="60% - Énfasis2 8" xfId="692"/>
    <cellStyle name="60% - Énfasis2 9" xfId="693"/>
    <cellStyle name="60% - Énfasis3 10" xfId="694"/>
    <cellStyle name="60% - Énfasis3 11" xfId="695"/>
    <cellStyle name="60% - Énfasis3 12" xfId="696"/>
    <cellStyle name="60% - Énfasis3 13" xfId="697"/>
    <cellStyle name="60% - Énfasis3 14" xfId="698"/>
    <cellStyle name="60% - Énfasis3 15" xfId="699"/>
    <cellStyle name="60% - Énfasis3 16" xfId="700"/>
    <cellStyle name="60% - Énfasis3 17" xfId="701"/>
    <cellStyle name="60% - Énfasis3 18" xfId="702"/>
    <cellStyle name="60% - Énfasis3 19" xfId="703"/>
    <cellStyle name="60% - Énfasis3 2" xfId="704"/>
    <cellStyle name="60% - Énfasis3 2 10" xfId="705"/>
    <cellStyle name="60% - Énfasis3 2 11" xfId="706"/>
    <cellStyle name="60% - Énfasis3 2 12" xfId="707"/>
    <cellStyle name="60% - Énfasis3 2 13" xfId="708"/>
    <cellStyle name="60% - Énfasis3 2 14" xfId="709"/>
    <cellStyle name="60% - Énfasis3 2 15" xfId="710"/>
    <cellStyle name="60% - Énfasis3 2 16" xfId="711"/>
    <cellStyle name="60% - Énfasis3 2 17" xfId="712"/>
    <cellStyle name="60% - Énfasis3 2 18" xfId="713"/>
    <cellStyle name="60% - Énfasis3 2 19" xfId="714"/>
    <cellStyle name="60% - Énfasis3 2 2" xfId="715"/>
    <cellStyle name="60% - Énfasis3 2 20" xfId="716"/>
    <cellStyle name="60% - Énfasis3 2 21" xfId="717"/>
    <cellStyle name="60% - Énfasis3 2 3" xfId="718"/>
    <cellStyle name="60% - Énfasis3 2 4" xfId="719"/>
    <cellStyle name="60% - Énfasis3 2 5" xfId="720"/>
    <cellStyle name="60% - Énfasis3 2 6" xfId="721"/>
    <cellStyle name="60% - Énfasis3 2 7" xfId="722"/>
    <cellStyle name="60% - Énfasis3 2 8" xfId="723"/>
    <cellStyle name="60% - Énfasis3 2 9" xfId="724"/>
    <cellStyle name="60% - Énfasis3 20" xfId="725"/>
    <cellStyle name="60% - Énfasis3 21" xfId="726"/>
    <cellStyle name="60% - Énfasis3 3" xfId="727"/>
    <cellStyle name="60% - Énfasis3 4" xfId="728"/>
    <cellStyle name="60% - Énfasis3 5" xfId="729"/>
    <cellStyle name="60% - Énfasis3 6" xfId="730"/>
    <cellStyle name="60% - Énfasis3 7" xfId="731"/>
    <cellStyle name="60% - Énfasis3 8" xfId="732"/>
    <cellStyle name="60% - Énfasis3 9" xfId="733"/>
    <cellStyle name="60% - Énfasis4 10" xfId="734"/>
    <cellStyle name="60% - Énfasis4 11" xfId="735"/>
    <cellStyle name="60% - Énfasis4 12" xfId="736"/>
    <cellStyle name="60% - Énfasis4 13" xfId="737"/>
    <cellStyle name="60% - Énfasis4 14" xfId="738"/>
    <cellStyle name="60% - Énfasis4 15" xfId="739"/>
    <cellStyle name="60% - Énfasis4 16" xfId="740"/>
    <cellStyle name="60% - Énfasis4 17" xfId="741"/>
    <cellStyle name="60% - Énfasis4 18" xfId="742"/>
    <cellStyle name="60% - Énfasis4 19" xfId="743"/>
    <cellStyle name="60% - Énfasis4 2" xfId="744"/>
    <cellStyle name="60% - Énfasis4 2 10" xfId="745"/>
    <cellStyle name="60% - Énfasis4 2 11" xfId="746"/>
    <cellStyle name="60% - Énfasis4 2 12" xfId="747"/>
    <cellStyle name="60% - Énfasis4 2 13" xfId="748"/>
    <cellStyle name="60% - Énfasis4 2 14" xfId="749"/>
    <cellStyle name="60% - Énfasis4 2 15" xfId="750"/>
    <cellStyle name="60% - Énfasis4 2 16" xfId="751"/>
    <cellStyle name="60% - Énfasis4 2 17" xfId="752"/>
    <cellStyle name="60% - Énfasis4 2 18" xfId="753"/>
    <cellStyle name="60% - Énfasis4 2 19" xfId="754"/>
    <cellStyle name="60% - Énfasis4 2 2" xfId="755"/>
    <cellStyle name="60% - Énfasis4 2 20" xfId="756"/>
    <cellStyle name="60% - Énfasis4 2 21" xfId="757"/>
    <cellStyle name="60% - Énfasis4 2 3" xfId="758"/>
    <cellStyle name="60% - Énfasis4 2 4" xfId="759"/>
    <cellStyle name="60% - Énfasis4 2 5" xfId="760"/>
    <cellStyle name="60% - Énfasis4 2 6" xfId="761"/>
    <cellStyle name="60% - Énfasis4 2 7" xfId="762"/>
    <cellStyle name="60% - Énfasis4 2 8" xfId="763"/>
    <cellStyle name="60% - Énfasis4 2 9" xfId="764"/>
    <cellStyle name="60% - Énfasis4 20" xfId="765"/>
    <cellStyle name="60% - Énfasis4 21" xfId="766"/>
    <cellStyle name="60% - Énfasis4 3" xfId="767"/>
    <cellStyle name="60% - Énfasis4 4" xfId="768"/>
    <cellStyle name="60% - Énfasis4 5" xfId="769"/>
    <cellStyle name="60% - Énfasis4 6" xfId="770"/>
    <cellStyle name="60% - Énfasis4 7" xfId="771"/>
    <cellStyle name="60% - Énfasis4 8" xfId="772"/>
    <cellStyle name="60% - Énfasis4 9" xfId="773"/>
    <cellStyle name="60% - Énfasis5 10" xfId="774"/>
    <cellStyle name="60% - Énfasis5 11" xfId="775"/>
    <cellStyle name="60% - Énfasis5 12" xfId="776"/>
    <cellStyle name="60% - Énfasis5 13" xfId="777"/>
    <cellStyle name="60% - Énfasis5 14" xfId="778"/>
    <cellStyle name="60% - Énfasis5 15" xfId="779"/>
    <cellStyle name="60% - Énfasis5 16" xfId="780"/>
    <cellStyle name="60% - Énfasis5 17" xfId="781"/>
    <cellStyle name="60% - Énfasis5 18" xfId="782"/>
    <cellStyle name="60% - Énfasis5 19" xfId="783"/>
    <cellStyle name="60% - Énfasis5 2" xfId="784"/>
    <cellStyle name="60% - Énfasis5 2 10" xfId="785"/>
    <cellStyle name="60% - Énfasis5 2 11" xfId="786"/>
    <cellStyle name="60% - Énfasis5 2 12" xfId="787"/>
    <cellStyle name="60% - Énfasis5 2 13" xfId="788"/>
    <cellStyle name="60% - Énfasis5 2 14" xfId="789"/>
    <cellStyle name="60% - Énfasis5 2 15" xfId="790"/>
    <cellStyle name="60% - Énfasis5 2 16" xfId="791"/>
    <cellStyle name="60% - Énfasis5 2 17" xfId="792"/>
    <cellStyle name="60% - Énfasis5 2 18" xfId="793"/>
    <cellStyle name="60% - Énfasis5 2 19" xfId="794"/>
    <cellStyle name="60% - Énfasis5 2 2" xfId="795"/>
    <cellStyle name="60% - Énfasis5 2 20" xfId="796"/>
    <cellStyle name="60% - Énfasis5 2 21" xfId="797"/>
    <cellStyle name="60% - Énfasis5 2 3" xfId="798"/>
    <cellStyle name="60% - Énfasis5 2 4" xfId="799"/>
    <cellStyle name="60% - Énfasis5 2 5" xfId="800"/>
    <cellStyle name="60% - Énfasis5 2 6" xfId="801"/>
    <cellStyle name="60% - Énfasis5 2 7" xfId="802"/>
    <cellStyle name="60% - Énfasis5 2 8" xfId="803"/>
    <cellStyle name="60% - Énfasis5 2 9" xfId="804"/>
    <cellStyle name="60% - Énfasis5 20" xfId="805"/>
    <cellStyle name="60% - Énfasis5 21" xfId="806"/>
    <cellStyle name="60% - Énfasis5 3" xfId="807"/>
    <cellStyle name="60% - Énfasis5 4" xfId="808"/>
    <cellStyle name="60% - Énfasis5 5" xfId="809"/>
    <cellStyle name="60% - Énfasis5 6" xfId="810"/>
    <cellStyle name="60% - Énfasis5 7" xfId="811"/>
    <cellStyle name="60% - Énfasis5 8" xfId="812"/>
    <cellStyle name="60% - Énfasis5 9" xfId="813"/>
    <cellStyle name="60% - Énfasis6 10" xfId="814"/>
    <cellStyle name="60% - Énfasis6 11" xfId="815"/>
    <cellStyle name="60% - Énfasis6 12" xfId="816"/>
    <cellStyle name="60% - Énfasis6 13" xfId="817"/>
    <cellStyle name="60% - Énfasis6 14" xfId="818"/>
    <cellStyle name="60% - Énfasis6 15" xfId="819"/>
    <cellStyle name="60% - Énfasis6 16" xfId="820"/>
    <cellStyle name="60% - Énfasis6 17" xfId="821"/>
    <cellStyle name="60% - Énfasis6 18" xfId="822"/>
    <cellStyle name="60% - Énfasis6 19" xfId="823"/>
    <cellStyle name="60% - Énfasis6 2" xfId="824"/>
    <cellStyle name="60% - Énfasis6 2 10" xfId="825"/>
    <cellStyle name="60% - Énfasis6 2 11" xfId="826"/>
    <cellStyle name="60% - Énfasis6 2 12" xfId="827"/>
    <cellStyle name="60% - Énfasis6 2 13" xfId="828"/>
    <cellStyle name="60% - Énfasis6 2 14" xfId="829"/>
    <cellStyle name="60% - Énfasis6 2 15" xfId="830"/>
    <cellStyle name="60% - Énfasis6 2 16" xfId="831"/>
    <cellStyle name="60% - Énfasis6 2 17" xfId="832"/>
    <cellStyle name="60% - Énfasis6 2 18" xfId="833"/>
    <cellStyle name="60% - Énfasis6 2 19" xfId="834"/>
    <cellStyle name="60% - Énfasis6 2 2" xfId="835"/>
    <cellStyle name="60% - Énfasis6 2 20" xfId="836"/>
    <cellStyle name="60% - Énfasis6 2 21" xfId="837"/>
    <cellStyle name="60% - Énfasis6 2 3" xfId="838"/>
    <cellStyle name="60% - Énfasis6 2 4" xfId="839"/>
    <cellStyle name="60% - Énfasis6 2 5" xfId="840"/>
    <cellStyle name="60% - Énfasis6 2 6" xfId="841"/>
    <cellStyle name="60% - Énfasis6 2 7" xfId="842"/>
    <cellStyle name="60% - Énfasis6 2 8" xfId="843"/>
    <cellStyle name="60% - Énfasis6 2 9" xfId="844"/>
    <cellStyle name="60% - Énfasis6 20" xfId="845"/>
    <cellStyle name="60% - Énfasis6 21" xfId="846"/>
    <cellStyle name="60% - Énfasis6 3" xfId="847"/>
    <cellStyle name="60% - Énfasis6 4" xfId="848"/>
    <cellStyle name="60% - Énfasis6 5" xfId="849"/>
    <cellStyle name="60% - Énfasis6 6" xfId="850"/>
    <cellStyle name="60% - Énfasis6 7" xfId="851"/>
    <cellStyle name="60% - Énfasis6 8" xfId="852"/>
    <cellStyle name="60% - Énfasis6 9" xfId="853"/>
    <cellStyle name="Accent1" xfId="854"/>
    <cellStyle name="Accent2" xfId="855"/>
    <cellStyle name="Accent3" xfId="856"/>
    <cellStyle name="Accent4" xfId="857"/>
    <cellStyle name="Accent5" xfId="858"/>
    <cellStyle name="Accent6" xfId="859"/>
    <cellStyle name="Akcent 1" xfId="860"/>
    <cellStyle name="Akcent 2" xfId="861"/>
    <cellStyle name="Akcent 3" xfId="862"/>
    <cellStyle name="Akcent 4" xfId="863"/>
    <cellStyle name="Akcent 5" xfId="864"/>
    <cellStyle name="Akcent 6" xfId="865"/>
    <cellStyle name="Año" xfId="866"/>
    <cellStyle name="Año 1" xfId="867"/>
    <cellStyle name="Atención 1" xfId="868"/>
    <cellStyle name="Bad" xfId="869"/>
    <cellStyle name="blank" xfId="870"/>
    <cellStyle name="Buena 10" xfId="871"/>
    <cellStyle name="Buena 11" xfId="872"/>
    <cellStyle name="Buena 12" xfId="873"/>
    <cellStyle name="Buena 13" xfId="874"/>
    <cellStyle name="Buena 14" xfId="875"/>
    <cellStyle name="Buena 15" xfId="876"/>
    <cellStyle name="Buena 16" xfId="877"/>
    <cellStyle name="Buena 17" xfId="878"/>
    <cellStyle name="Buena 18" xfId="879"/>
    <cellStyle name="Buena 19" xfId="880"/>
    <cellStyle name="Buena 2" xfId="881"/>
    <cellStyle name="Buena 2 10" xfId="882"/>
    <cellStyle name="Buena 2 11" xfId="883"/>
    <cellStyle name="Buena 2 12" xfId="884"/>
    <cellStyle name="Buena 2 13" xfId="885"/>
    <cellStyle name="Buena 2 14" xfId="886"/>
    <cellStyle name="Buena 2 15" xfId="887"/>
    <cellStyle name="Buena 2 16" xfId="888"/>
    <cellStyle name="Buena 2 17" xfId="889"/>
    <cellStyle name="Buena 2 18" xfId="890"/>
    <cellStyle name="Buena 2 19" xfId="891"/>
    <cellStyle name="Buena 2 2" xfId="892"/>
    <cellStyle name="Buena 2 20" xfId="893"/>
    <cellStyle name="Buena 2 21" xfId="894"/>
    <cellStyle name="Buena 2 3" xfId="895"/>
    <cellStyle name="Buena 2 4" xfId="896"/>
    <cellStyle name="Buena 2 5" xfId="897"/>
    <cellStyle name="Buena 2 6" xfId="898"/>
    <cellStyle name="Buena 2 7" xfId="899"/>
    <cellStyle name="Buena 2 8" xfId="900"/>
    <cellStyle name="Buena 2 9" xfId="901"/>
    <cellStyle name="Buena 20" xfId="902"/>
    <cellStyle name="Buena 21" xfId="903"/>
    <cellStyle name="Buena 3" xfId="904"/>
    <cellStyle name="Buena 4" xfId="905"/>
    <cellStyle name="Buena 5" xfId="906"/>
    <cellStyle name="Buena 6" xfId="907"/>
    <cellStyle name="Buena 7" xfId="908"/>
    <cellStyle name="Buena 8" xfId="909"/>
    <cellStyle name="Buena 9" xfId="910"/>
    <cellStyle name="Calculation" xfId="911"/>
    <cellStyle name="Cálculo 10" xfId="912"/>
    <cellStyle name="Cálculo 11" xfId="913"/>
    <cellStyle name="Cálculo 12" xfId="914"/>
    <cellStyle name="Cálculo 13" xfId="915"/>
    <cellStyle name="Cálculo 14" xfId="916"/>
    <cellStyle name="Cálculo 15" xfId="917"/>
    <cellStyle name="Cálculo 16" xfId="918"/>
    <cellStyle name="Cálculo 17" xfId="919"/>
    <cellStyle name="Cálculo 18" xfId="920"/>
    <cellStyle name="Cálculo 19" xfId="921"/>
    <cellStyle name="Cálculo 2" xfId="922"/>
    <cellStyle name="Cálculo 2 10" xfId="923"/>
    <cellStyle name="Cálculo 2 11" xfId="924"/>
    <cellStyle name="Cálculo 2 12" xfId="925"/>
    <cellStyle name="Cálculo 2 13" xfId="926"/>
    <cellStyle name="Cálculo 2 14" xfId="927"/>
    <cellStyle name="Cálculo 2 15" xfId="928"/>
    <cellStyle name="Cálculo 2 16" xfId="929"/>
    <cellStyle name="Cálculo 2 17" xfId="930"/>
    <cellStyle name="Cálculo 2 18" xfId="931"/>
    <cellStyle name="Cálculo 2 19" xfId="932"/>
    <cellStyle name="Cálculo 2 2" xfId="933"/>
    <cellStyle name="Cálculo 2 20" xfId="934"/>
    <cellStyle name="Cálculo 2 21" xfId="935"/>
    <cellStyle name="Cálculo 2 3" xfId="936"/>
    <cellStyle name="Cálculo 2 4" xfId="937"/>
    <cellStyle name="Cálculo 2 5" xfId="938"/>
    <cellStyle name="Cálculo 2 6" xfId="939"/>
    <cellStyle name="Cálculo 2 7" xfId="940"/>
    <cellStyle name="Cálculo 2 8" xfId="941"/>
    <cellStyle name="Cálculo 2 9" xfId="942"/>
    <cellStyle name="Cálculo 20" xfId="943"/>
    <cellStyle name="Cálculo 21" xfId="944"/>
    <cellStyle name="Cálculo 3" xfId="945"/>
    <cellStyle name="Cálculo 4" xfId="946"/>
    <cellStyle name="Cálculo 5" xfId="947"/>
    <cellStyle name="Cálculo 6" xfId="948"/>
    <cellStyle name="Cálculo 7" xfId="949"/>
    <cellStyle name="Cálculo 8" xfId="950"/>
    <cellStyle name="Cálculo 9" xfId="951"/>
    <cellStyle name="Cancel" xfId="952"/>
    <cellStyle name="Celda de comprobación 10" xfId="953"/>
    <cellStyle name="Celda de comprobación 11" xfId="954"/>
    <cellStyle name="Celda de comprobación 12" xfId="955"/>
    <cellStyle name="Celda de comprobación 13" xfId="956"/>
    <cellStyle name="Celda de comprobación 14" xfId="957"/>
    <cellStyle name="Celda de comprobación 15" xfId="958"/>
    <cellStyle name="Celda de comprobación 16" xfId="959"/>
    <cellStyle name="Celda de comprobación 17" xfId="960"/>
    <cellStyle name="Celda de comprobación 18" xfId="961"/>
    <cellStyle name="Celda de comprobación 19" xfId="962"/>
    <cellStyle name="Celda de comprobación 2" xfId="963"/>
    <cellStyle name="Celda de comprobación 2 10" xfId="964"/>
    <cellStyle name="Celda de comprobación 2 11" xfId="965"/>
    <cellStyle name="Celda de comprobación 2 12" xfId="966"/>
    <cellStyle name="Celda de comprobación 2 13" xfId="967"/>
    <cellStyle name="Celda de comprobación 2 14" xfId="968"/>
    <cellStyle name="Celda de comprobación 2 15" xfId="969"/>
    <cellStyle name="Celda de comprobación 2 16" xfId="970"/>
    <cellStyle name="Celda de comprobación 2 17" xfId="971"/>
    <cellStyle name="Celda de comprobación 2 18" xfId="972"/>
    <cellStyle name="Celda de comprobación 2 19" xfId="973"/>
    <cellStyle name="Celda de comprobación 2 2" xfId="974"/>
    <cellStyle name="Celda de comprobación 2 20" xfId="975"/>
    <cellStyle name="Celda de comprobación 2 21" xfId="976"/>
    <cellStyle name="Celda de comprobación 2 3" xfId="977"/>
    <cellStyle name="Celda de comprobación 2 4" xfId="978"/>
    <cellStyle name="Celda de comprobación 2 5" xfId="979"/>
    <cellStyle name="Celda de comprobación 2 6" xfId="980"/>
    <cellStyle name="Celda de comprobación 2 7" xfId="981"/>
    <cellStyle name="Celda de comprobación 2 8" xfId="982"/>
    <cellStyle name="Celda de comprobación 2 9" xfId="983"/>
    <cellStyle name="Celda de comprobación 20" xfId="984"/>
    <cellStyle name="Celda de comprobación 21" xfId="985"/>
    <cellStyle name="Celda de comprobación 3" xfId="986"/>
    <cellStyle name="Celda de comprobación 4" xfId="987"/>
    <cellStyle name="Celda de comprobación 5" xfId="988"/>
    <cellStyle name="Celda de comprobación 6" xfId="989"/>
    <cellStyle name="Celda de comprobación 7" xfId="990"/>
    <cellStyle name="Celda de comprobación 8" xfId="991"/>
    <cellStyle name="Celda de comprobación 9" xfId="992"/>
    <cellStyle name="Celda vinculada 10" xfId="993"/>
    <cellStyle name="Celda vinculada 11" xfId="994"/>
    <cellStyle name="Celda vinculada 12" xfId="995"/>
    <cellStyle name="Celda vinculada 13" xfId="996"/>
    <cellStyle name="Celda vinculada 14" xfId="997"/>
    <cellStyle name="Celda vinculada 15" xfId="998"/>
    <cellStyle name="Celda vinculada 16" xfId="999"/>
    <cellStyle name="Celda vinculada 17" xfId="1000"/>
    <cellStyle name="Celda vinculada 18" xfId="1001"/>
    <cellStyle name="Celda vinculada 19" xfId="1002"/>
    <cellStyle name="Celda vinculada 2" xfId="1003"/>
    <cellStyle name="Celda vinculada 2 10" xfId="1004"/>
    <cellStyle name="Celda vinculada 2 11" xfId="1005"/>
    <cellStyle name="Celda vinculada 2 12" xfId="1006"/>
    <cellStyle name="Celda vinculada 2 13" xfId="1007"/>
    <cellStyle name="Celda vinculada 2 14" xfId="1008"/>
    <cellStyle name="Celda vinculada 2 15" xfId="1009"/>
    <cellStyle name="Celda vinculada 2 16" xfId="1010"/>
    <cellStyle name="Celda vinculada 2 17" xfId="1011"/>
    <cellStyle name="Celda vinculada 2 18" xfId="1012"/>
    <cellStyle name="Celda vinculada 2 19" xfId="1013"/>
    <cellStyle name="Celda vinculada 2 2" xfId="1014"/>
    <cellStyle name="Celda vinculada 2 20" xfId="1015"/>
    <cellStyle name="Celda vinculada 2 21" xfId="1016"/>
    <cellStyle name="Celda vinculada 2 3" xfId="1017"/>
    <cellStyle name="Celda vinculada 2 4" xfId="1018"/>
    <cellStyle name="Celda vinculada 2 5" xfId="1019"/>
    <cellStyle name="Celda vinculada 2 6" xfId="1020"/>
    <cellStyle name="Celda vinculada 2 7" xfId="1021"/>
    <cellStyle name="Celda vinculada 2 8" xfId="1022"/>
    <cellStyle name="Celda vinculada 2 9" xfId="1023"/>
    <cellStyle name="Celda vinculada 20" xfId="1024"/>
    <cellStyle name="Celda vinculada 21" xfId="1025"/>
    <cellStyle name="Celda vinculada 3" xfId="1026"/>
    <cellStyle name="Celda vinculada 4" xfId="1027"/>
    <cellStyle name="Celda vinculada 5" xfId="1028"/>
    <cellStyle name="Celda vinculada 6" xfId="1029"/>
    <cellStyle name="Celda vinculada 7" xfId="1030"/>
    <cellStyle name="Celda vinculada 8" xfId="1031"/>
    <cellStyle name="Celda vinculada 9" xfId="1032"/>
    <cellStyle name="Centered Heading" xfId="1033"/>
    <cellStyle name="Check Cell" xfId="1034"/>
    <cellStyle name="Comma [0] 2" xfId="1035"/>
    <cellStyle name="Comma [1]" xfId="1036"/>
    <cellStyle name="Comma 0.0" xfId="1037"/>
    <cellStyle name="Comma 0.00" xfId="1038"/>
    <cellStyle name="Comma 0.000" xfId="1039"/>
    <cellStyle name="Comma 10" xfId="1040"/>
    <cellStyle name="Comma 10 2" xfId="1041"/>
    <cellStyle name="Comma 10 2 2" xfId="1042"/>
    <cellStyle name="Comma 11" xfId="1043"/>
    <cellStyle name="Comma 12" xfId="1044"/>
    <cellStyle name="Comma 13" xfId="1045"/>
    <cellStyle name="Comma 14" xfId="1046"/>
    <cellStyle name="Comma 15" xfId="1047"/>
    <cellStyle name="Comma 16" xfId="1048"/>
    <cellStyle name="Comma 17" xfId="1049"/>
    <cellStyle name="Comma 18" xfId="1050"/>
    <cellStyle name="Comma 19" xfId="1051"/>
    <cellStyle name="Comma 2" xfId="1052"/>
    <cellStyle name="Comma 2 10" xfId="1053"/>
    <cellStyle name="Comma 2 11" xfId="1054"/>
    <cellStyle name="Comma 2 12" xfId="1055"/>
    <cellStyle name="Comma 2 13" xfId="1056"/>
    <cellStyle name="Comma 2 2" xfId="1057"/>
    <cellStyle name="Comma 2 2 2" xfId="1058"/>
    <cellStyle name="Comma 2 3" xfId="1059"/>
    <cellStyle name="Comma 2 4" xfId="1060"/>
    <cellStyle name="Comma 2 5" xfId="1061"/>
    <cellStyle name="Comma 2 6" xfId="1062"/>
    <cellStyle name="Comma 2 7" xfId="1063"/>
    <cellStyle name="Comma 2 8" xfId="1064"/>
    <cellStyle name="Comma 2 9" xfId="1065"/>
    <cellStyle name="Comma 20" xfId="1066"/>
    <cellStyle name="Comma 21" xfId="1067"/>
    <cellStyle name="Comma 22" xfId="1068"/>
    <cellStyle name="Comma 23" xfId="1069"/>
    <cellStyle name="Comma 3" xfId="1070"/>
    <cellStyle name="Comma 3 2" xfId="1071"/>
    <cellStyle name="Comma 3 2 2" xfId="1072"/>
    <cellStyle name="Comma 3 3" xfId="1073"/>
    <cellStyle name="Comma 3 3 2" xfId="1074"/>
    <cellStyle name="Comma 3 4" xfId="1075"/>
    <cellStyle name="Comma 4" xfId="1076"/>
    <cellStyle name="Comma 5" xfId="1077"/>
    <cellStyle name="Comma 5 2" xfId="1078"/>
    <cellStyle name="Comma 5 2 2" xfId="1079"/>
    <cellStyle name="Comma 6" xfId="1080"/>
    <cellStyle name="Comma 7" xfId="1081"/>
    <cellStyle name="Comma 7 2" xfId="1082"/>
    <cellStyle name="Comma 8" xfId="1083"/>
    <cellStyle name="Comma 8 2" xfId="1084"/>
    <cellStyle name="Comma 9" xfId="1085"/>
    <cellStyle name="Comma 9 2" xfId="1086"/>
    <cellStyle name="Comma_linea sencilla CERO" xfId="1087"/>
    <cellStyle name="Comma0" xfId="1088"/>
    <cellStyle name="Comma0 - Modelo2" xfId="1089"/>
    <cellStyle name="Comma0 - Style1" xfId="1090"/>
    <cellStyle name="Comma0 - Style2" xfId="1091"/>
    <cellStyle name="Comma0 - Style3" xfId="1092"/>
    <cellStyle name="Company Name" xfId="1093"/>
    <cellStyle name="Company Name 2" xfId="1094"/>
    <cellStyle name="Company Name_Worksheet in J: MARKETING Templates D&amp;T Templates Noviembre 2002 Informe Modelo" xfId="3"/>
    <cellStyle name="Currency 0.0" xfId="1095"/>
    <cellStyle name="Currency 0.00" xfId="1096"/>
    <cellStyle name="Currency 0.000" xfId="1097"/>
    <cellStyle name="Currency_inicial" xfId="1098"/>
    <cellStyle name="Currency0" xfId="1099"/>
    <cellStyle name="Dane wejściowe" xfId="1100"/>
    <cellStyle name="Dane wyjściowe" xfId="1101"/>
    <cellStyle name="Date" xfId="1102"/>
    <cellStyle name="Date 2" xfId="1103"/>
    <cellStyle name="Date 2 2" xfId="1104"/>
    <cellStyle name="Dobre" xfId="1105"/>
    <cellStyle name="Encabezado 4 10" xfId="1106"/>
    <cellStyle name="Encabezado 4 11" xfId="1107"/>
    <cellStyle name="Encabezado 4 12" xfId="1108"/>
    <cellStyle name="Encabezado 4 13" xfId="1109"/>
    <cellStyle name="Encabezado 4 14" xfId="1110"/>
    <cellStyle name="Encabezado 4 15" xfId="1111"/>
    <cellStyle name="Encabezado 4 16" xfId="1112"/>
    <cellStyle name="Encabezado 4 17" xfId="1113"/>
    <cellStyle name="Encabezado 4 18" xfId="1114"/>
    <cellStyle name="Encabezado 4 19" xfId="1115"/>
    <cellStyle name="Encabezado 4 2" xfId="1116"/>
    <cellStyle name="Encabezado 4 2 10" xfId="1117"/>
    <cellStyle name="Encabezado 4 2 11" xfId="1118"/>
    <cellStyle name="Encabezado 4 2 12" xfId="1119"/>
    <cellStyle name="Encabezado 4 2 13" xfId="1120"/>
    <cellStyle name="Encabezado 4 2 14" xfId="1121"/>
    <cellStyle name="Encabezado 4 2 15" xfId="1122"/>
    <cellStyle name="Encabezado 4 2 16" xfId="1123"/>
    <cellStyle name="Encabezado 4 2 17" xfId="1124"/>
    <cellStyle name="Encabezado 4 2 18" xfId="1125"/>
    <cellStyle name="Encabezado 4 2 19" xfId="1126"/>
    <cellStyle name="Encabezado 4 2 2" xfId="1127"/>
    <cellStyle name="Encabezado 4 2 20" xfId="1128"/>
    <cellStyle name="Encabezado 4 2 21" xfId="1129"/>
    <cellStyle name="Encabezado 4 2 3" xfId="1130"/>
    <cellStyle name="Encabezado 4 2 4" xfId="1131"/>
    <cellStyle name="Encabezado 4 2 5" xfId="1132"/>
    <cellStyle name="Encabezado 4 2 6" xfId="1133"/>
    <cellStyle name="Encabezado 4 2 7" xfId="1134"/>
    <cellStyle name="Encabezado 4 2 8" xfId="1135"/>
    <cellStyle name="Encabezado 4 2 9" xfId="1136"/>
    <cellStyle name="Encabezado 4 20" xfId="1137"/>
    <cellStyle name="Encabezado 4 21" xfId="1138"/>
    <cellStyle name="Encabezado 4 3" xfId="1139"/>
    <cellStyle name="Encabezado 4 4" xfId="1140"/>
    <cellStyle name="Encabezado 4 5" xfId="1141"/>
    <cellStyle name="Encabezado 4 6" xfId="1142"/>
    <cellStyle name="Encabezado 4 7" xfId="1143"/>
    <cellStyle name="Encabezado 4 8" xfId="1144"/>
    <cellStyle name="Encabezado 4 9" xfId="1145"/>
    <cellStyle name="Énfasis1 10" xfId="1146"/>
    <cellStyle name="Énfasis1 11" xfId="1147"/>
    <cellStyle name="Énfasis1 12" xfId="1148"/>
    <cellStyle name="Énfasis1 13" xfId="1149"/>
    <cellStyle name="Énfasis1 14" xfId="1150"/>
    <cellStyle name="Énfasis1 15" xfId="1151"/>
    <cellStyle name="Énfasis1 16" xfId="1152"/>
    <cellStyle name="Énfasis1 17" xfId="1153"/>
    <cellStyle name="Énfasis1 18" xfId="1154"/>
    <cellStyle name="Énfasis1 19" xfId="1155"/>
    <cellStyle name="Énfasis1 2" xfId="1156"/>
    <cellStyle name="Énfasis1 2 10" xfId="1157"/>
    <cellStyle name="Énfasis1 2 11" xfId="1158"/>
    <cellStyle name="Énfasis1 2 12" xfId="1159"/>
    <cellStyle name="Énfasis1 2 13" xfId="1160"/>
    <cellStyle name="Énfasis1 2 14" xfId="1161"/>
    <cellStyle name="Énfasis1 2 15" xfId="1162"/>
    <cellStyle name="Énfasis1 2 16" xfId="1163"/>
    <cellStyle name="Énfasis1 2 17" xfId="1164"/>
    <cellStyle name="Énfasis1 2 18" xfId="1165"/>
    <cellStyle name="Énfasis1 2 19" xfId="1166"/>
    <cellStyle name="Énfasis1 2 2" xfId="1167"/>
    <cellStyle name="Énfasis1 2 20" xfId="1168"/>
    <cellStyle name="Énfasis1 2 21" xfId="1169"/>
    <cellStyle name="Énfasis1 2 3" xfId="1170"/>
    <cellStyle name="Énfasis1 2 4" xfId="1171"/>
    <cellStyle name="Énfasis1 2 5" xfId="1172"/>
    <cellStyle name="Énfasis1 2 6" xfId="1173"/>
    <cellStyle name="Énfasis1 2 7" xfId="1174"/>
    <cellStyle name="Énfasis1 2 8" xfId="1175"/>
    <cellStyle name="Énfasis1 2 9" xfId="1176"/>
    <cellStyle name="Énfasis1 20" xfId="1177"/>
    <cellStyle name="Énfasis1 21" xfId="1178"/>
    <cellStyle name="Énfasis1 3" xfId="1179"/>
    <cellStyle name="Énfasis1 4" xfId="1180"/>
    <cellStyle name="Énfasis1 5" xfId="1181"/>
    <cellStyle name="Énfasis1 6" xfId="1182"/>
    <cellStyle name="Énfasis1 7" xfId="1183"/>
    <cellStyle name="Énfasis1 8" xfId="1184"/>
    <cellStyle name="Énfasis1 9" xfId="1185"/>
    <cellStyle name="Énfasis2 10" xfId="1186"/>
    <cellStyle name="Énfasis2 11" xfId="1187"/>
    <cellStyle name="Énfasis2 12" xfId="1188"/>
    <cellStyle name="Énfasis2 13" xfId="1189"/>
    <cellStyle name="Énfasis2 14" xfId="1190"/>
    <cellStyle name="Énfasis2 15" xfId="1191"/>
    <cellStyle name="Énfasis2 16" xfId="1192"/>
    <cellStyle name="Énfasis2 17" xfId="1193"/>
    <cellStyle name="Énfasis2 18" xfId="1194"/>
    <cellStyle name="Énfasis2 19" xfId="1195"/>
    <cellStyle name="Énfasis2 2" xfId="1196"/>
    <cellStyle name="Énfasis2 2 10" xfId="1197"/>
    <cellStyle name="Énfasis2 2 11" xfId="1198"/>
    <cellStyle name="Énfasis2 2 12" xfId="1199"/>
    <cellStyle name="Énfasis2 2 13" xfId="1200"/>
    <cellStyle name="Énfasis2 2 14" xfId="1201"/>
    <cellStyle name="Énfasis2 2 15" xfId="1202"/>
    <cellStyle name="Énfasis2 2 16" xfId="1203"/>
    <cellStyle name="Énfasis2 2 17" xfId="1204"/>
    <cellStyle name="Énfasis2 2 18" xfId="1205"/>
    <cellStyle name="Énfasis2 2 19" xfId="1206"/>
    <cellStyle name="Énfasis2 2 2" xfId="1207"/>
    <cellStyle name="Énfasis2 2 20" xfId="1208"/>
    <cellStyle name="Énfasis2 2 21" xfId="1209"/>
    <cellStyle name="Énfasis2 2 3" xfId="1210"/>
    <cellStyle name="Énfasis2 2 4" xfId="1211"/>
    <cellStyle name="Énfasis2 2 5" xfId="1212"/>
    <cellStyle name="Énfasis2 2 6" xfId="1213"/>
    <cellStyle name="Énfasis2 2 7" xfId="1214"/>
    <cellStyle name="Énfasis2 2 8" xfId="1215"/>
    <cellStyle name="Énfasis2 2 9" xfId="1216"/>
    <cellStyle name="Énfasis2 20" xfId="1217"/>
    <cellStyle name="Énfasis2 21" xfId="1218"/>
    <cellStyle name="Énfasis2 3" xfId="1219"/>
    <cellStyle name="Énfasis2 4" xfId="1220"/>
    <cellStyle name="Énfasis2 5" xfId="1221"/>
    <cellStyle name="Énfasis2 6" xfId="1222"/>
    <cellStyle name="Énfasis2 7" xfId="1223"/>
    <cellStyle name="Énfasis2 8" xfId="1224"/>
    <cellStyle name="Énfasis2 9" xfId="1225"/>
    <cellStyle name="Énfasis3 10" xfId="1226"/>
    <cellStyle name="Énfasis3 11" xfId="1227"/>
    <cellStyle name="Énfasis3 12" xfId="1228"/>
    <cellStyle name="Énfasis3 13" xfId="1229"/>
    <cellStyle name="Énfasis3 14" xfId="1230"/>
    <cellStyle name="Énfasis3 15" xfId="1231"/>
    <cellStyle name="Énfasis3 16" xfId="1232"/>
    <cellStyle name="Énfasis3 17" xfId="1233"/>
    <cellStyle name="Énfasis3 18" xfId="1234"/>
    <cellStyle name="Énfasis3 19" xfId="1235"/>
    <cellStyle name="Énfasis3 2" xfId="1236"/>
    <cellStyle name="Énfasis3 2 10" xfId="1237"/>
    <cellStyle name="Énfasis3 2 11" xfId="1238"/>
    <cellStyle name="Énfasis3 2 12" xfId="1239"/>
    <cellStyle name="Énfasis3 2 13" xfId="1240"/>
    <cellStyle name="Énfasis3 2 14" xfId="1241"/>
    <cellStyle name="Énfasis3 2 15" xfId="1242"/>
    <cellStyle name="Énfasis3 2 16" xfId="1243"/>
    <cellStyle name="Énfasis3 2 17" xfId="1244"/>
    <cellStyle name="Énfasis3 2 18" xfId="1245"/>
    <cellStyle name="Énfasis3 2 19" xfId="1246"/>
    <cellStyle name="Énfasis3 2 2" xfId="1247"/>
    <cellStyle name="Énfasis3 2 20" xfId="1248"/>
    <cellStyle name="Énfasis3 2 21" xfId="1249"/>
    <cellStyle name="Énfasis3 2 3" xfId="1250"/>
    <cellStyle name="Énfasis3 2 4" xfId="1251"/>
    <cellStyle name="Énfasis3 2 5" xfId="1252"/>
    <cellStyle name="Énfasis3 2 6" xfId="1253"/>
    <cellStyle name="Énfasis3 2 7" xfId="1254"/>
    <cellStyle name="Énfasis3 2 8" xfId="1255"/>
    <cellStyle name="Énfasis3 2 9" xfId="1256"/>
    <cellStyle name="Énfasis3 20" xfId="1257"/>
    <cellStyle name="Énfasis3 21" xfId="1258"/>
    <cellStyle name="Énfasis3 3" xfId="1259"/>
    <cellStyle name="Énfasis3 4" xfId="1260"/>
    <cellStyle name="Énfasis3 5" xfId="1261"/>
    <cellStyle name="Énfasis3 6" xfId="1262"/>
    <cellStyle name="Énfasis3 7" xfId="1263"/>
    <cellStyle name="Énfasis3 8" xfId="1264"/>
    <cellStyle name="Énfasis3 9" xfId="1265"/>
    <cellStyle name="Énfasis4 10" xfId="1266"/>
    <cellStyle name="Énfasis4 11" xfId="1267"/>
    <cellStyle name="Énfasis4 12" xfId="1268"/>
    <cellStyle name="Énfasis4 13" xfId="1269"/>
    <cellStyle name="Énfasis4 14" xfId="1270"/>
    <cellStyle name="Énfasis4 15" xfId="1271"/>
    <cellStyle name="Énfasis4 16" xfId="1272"/>
    <cellStyle name="Énfasis4 17" xfId="1273"/>
    <cellStyle name="Énfasis4 18" xfId="1274"/>
    <cellStyle name="Énfasis4 19" xfId="1275"/>
    <cellStyle name="Énfasis4 2" xfId="1276"/>
    <cellStyle name="Énfasis4 2 10" xfId="1277"/>
    <cellStyle name="Énfasis4 2 11" xfId="1278"/>
    <cellStyle name="Énfasis4 2 12" xfId="1279"/>
    <cellStyle name="Énfasis4 2 13" xfId="1280"/>
    <cellStyle name="Énfasis4 2 14" xfId="1281"/>
    <cellStyle name="Énfasis4 2 15" xfId="1282"/>
    <cellStyle name="Énfasis4 2 16" xfId="1283"/>
    <cellStyle name="Énfasis4 2 17" xfId="1284"/>
    <cellStyle name="Énfasis4 2 18" xfId="1285"/>
    <cellStyle name="Énfasis4 2 19" xfId="1286"/>
    <cellStyle name="Énfasis4 2 2" xfId="1287"/>
    <cellStyle name="Énfasis4 2 20" xfId="1288"/>
    <cellStyle name="Énfasis4 2 21" xfId="1289"/>
    <cellStyle name="Énfasis4 2 3" xfId="1290"/>
    <cellStyle name="Énfasis4 2 4" xfId="1291"/>
    <cellStyle name="Énfasis4 2 5" xfId="1292"/>
    <cellStyle name="Énfasis4 2 6" xfId="1293"/>
    <cellStyle name="Énfasis4 2 7" xfId="1294"/>
    <cellStyle name="Énfasis4 2 8" xfId="1295"/>
    <cellStyle name="Énfasis4 2 9" xfId="1296"/>
    <cellStyle name="Énfasis4 20" xfId="1297"/>
    <cellStyle name="Énfasis4 21" xfId="1298"/>
    <cellStyle name="Énfasis4 3" xfId="1299"/>
    <cellStyle name="Énfasis4 4" xfId="1300"/>
    <cellStyle name="Énfasis4 5" xfId="1301"/>
    <cellStyle name="Énfasis4 6" xfId="1302"/>
    <cellStyle name="Énfasis4 7" xfId="1303"/>
    <cellStyle name="Énfasis4 8" xfId="1304"/>
    <cellStyle name="Énfasis4 9" xfId="1305"/>
    <cellStyle name="Énfasis5 10" xfId="1306"/>
    <cellStyle name="Énfasis5 11" xfId="1307"/>
    <cellStyle name="Énfasis5 12" xfId="1308"/>
    <cellStyle name="Énfasis5 13" xfId="1309"/>
    <cellStyle name="Énfasis5 14" xfId="1310"/>
    <cellStyle name="Énfasis5 15" xfId="1311"/>
    <cellStyle name="Énfasis5 16" xfId="1312"/>
    <cellStyle name="Énfasis5 17" xfId="1313"/>
    <cellStyle name="Énfasis5 18" xfId="1314"/>
    <cellStyle name="Énfasis5 19" xfId="1315"/>
    <cellStyle name="Énfasis5 2" xfId="1316"/>
    <cellStyle name="Énfasis5 2 10" xfId="1317"/>
    <cellStyle name="Énfasis5 2 11" xfId="1318"/>
    <cellStyle name="Énfasis5 2 12" xfId="1319"/>
    <cellStyle name="Énfasis5 2 13" xfId="1320"/>
    <cellStyle name="Énfasis5 2 14" xfId="1321"/>
    <cellStyle name="Énfasis5 2 15" xfId="1322"/>
    <cellStyle name="Énfasis5 2 16" xfId="1323"/>
    <cellStyle name="Énfasis5 2 17" xfId="1324"/>
    <cellStyle name="Énfasis5 2 18" xfId="1325"/>
    <cellStyle name="Énfasis5 2 19" xfId="1326"/>
    <cellStyle name="Énfasis5 2 2" xfId="1327"/>
    <cellStyle name="Énfasis5 2 20" xfId="1328"/>
    <cellStyle name="Énfasis5 2 21" xfId="1329"/>
    <cellStyle name="Énfasis5 2 3" xfId="1330"/>
    <cellStyle name="Énfasis5 2 4" xfId="1331"/>
    <cellStyle name="Énfasis5 2 5" xfId="1332"/>
    <cellStyle name="Énfasis5 2 6" xfId="1333"/>
    <cellStyle name="Énfasis5 2 7" xfId="1334"/>
    <cellStyle name="Énfasis5 2 8" xfId="1335"/>
    <cellStyle name="Énfasis5 2 9" xfId="1336"/>
    <cellStyle name="Énfasis5 20" xfId="1337"/>
    <cellStyle name="Énfasis5 21" xfId="1338"/>
    <cellStyle name="Énfasis5 3" xfId="1339"/>
    <cellStyle name="Énfasis5 4" xfId="1340"/>
    <cellStyle name="Énfasis5 5" xfId="1341"/>
    <cellStyle name="Énfasis5 6" xfId="1342"/>
    <cellStyle name="Énfasis5 7" xfId="1343"/>
    <cellStyle name="Énfasis5 8" xfId="1344"/>
    <cellStyle name="Énfasis5 9" xfId="1345"/>
    <cellStyle name="Énfasis6 10" xfId="1346"/>
    <cellStyle name="Énfasis6 11" xfId="1347"/>
    <cellStyle name="Énfasis6 12" xfId="1348"/>
    <cellStyle name="Énfasis6 13" xfId="1349"/>
    <cellStyle name="Énfasis6 14" xfId="1350"/>
    <cellStyle name="Énfasis6 15" xfId="1351"/>
    <cellStyle name="Énfasis6 16" xfId="1352"/>
    <cellStyle name="Énfasis6 17" xfId="1353"/>
    <cellStyle name="Énfasis6 18" xfId="1354"/>
    <cellStyle name="Énfasis6 19" xfId="1355"/>
    <cellStyle name="Énfasis6 2" xfId="1356"/>
    <cellStyle name="Énfasis6 2 10" xfId="1357"/>
    <cellStyle name="Énfasis6 2 11" xfId="1358"/>
    <cellStyle name="Énfasis6 2 12" xfId="1359"/>
    <cellStyle name="Énfasis6 2 13" xfId="1360"/>
    <cellStyle name="Énfasis6 2 14" xfId="1361"/>
    <cellStyle name="Énfasis6 2 15" xfId="1362"/>
    <cellStyle name="Énfasis6 2 16" xfId="1363"/>
    <cellStyle name="Énfasis6 2 17" xfId="1364"/>
    <cellStyle name="Énfasis6 2 18" xfId="1365"/>
    <cellStyle name="Énfasis6 2 19" xfId="1366"/>
    <cellStyle name="Énfasis6 2 2" xfId="1367"/>
    <cellStyle name="Énfasis6 2 20" xfId="1368"/>
    <cellStyle name="Énfasis6 2 21" xfId="1369"/>
    <cellStyle name="Énfasis6 2 3" xfId="1370"/>
    <cellStyle name="Énfasis6 2 4" xfId="1371"/>
    <cellStyle name="Énfasis6 2 5" xfId="1372"/>
    <cellStyle name="Énfasis6 2 6" xfId="1373"/>
    <cellStyle name="Énfasis6 2 7" xfId="1374"/>
    <cellStyle name="Énfasis6 2 8" xfId="1375"/>
    <cellStyle name="Énfasis6 2 9" xfId="1376"/>
    <cellStyle name="Énfasis6 20" xfId="1377"/>
    <cellStyle name="Énfasis6 21" xfId="1378"/>
    <cellStyle name="Énfasis6 3" xfId="1379"/>
    <cellStyle name="Énfasis6 4" xfId="1380"/>
    <cellStyle name="Énfasis6 5" xfId="1381"/>
    <cellStyle name="Énfasis6 6" xfId="1382"/>
    <cellStyle name="Énfasis6 7" xfId="1383"/>
    <cellStyle name="Énfasis6 8" xfId="1384"/>
    <cellStyle name="Énfasis6 9" xfId="1385"/>
    <cellStyle name="Entrada 10" xfId="1386"/>
    <cellStyle name="Entrada 11" xfId="1387"/>
    <cellStyle name="Entrada 12" xfId="1388"/>
    <cellStyle name="Entrada 13" xfId="1389"/>
    <cellStyle name="Entrada 14" xfId="1390"/>
    <cellStyle name="Entrada 15" xfId="1391"/>
    <cellStyle name="Entrada 16" xfId="1392"/>
    <cellStyle name="Entrada 17" xfId="1393"/>
    <cellStyle name="Entrada 18" xfId="1394"/>
    <cellStyle name="Entrada 19" xfId="1395"/>
    <cellStyle name="Entrada 2" xfId="1396"/>
    <cellStyle name="Entrada 2 10" xfId="1397"/>
    <cellStyle name="Entrada 2 11" xfId="1398"/>
    <cellStyle name="Entrada 2 12" xfId="1399"/>
    <cellStyle name="Entrada 2 13" xfId="1400"/>
    <cellStyle name="Entrada 2 14" xfId="1401"/>
    <cellStyle name="Entrada 2 15" xfId="1402"/>
    <cellStyle name="Entrada 2 16" xfId="1403"/>
    <cellStyle name="Entrada 2 17" xfId="1404"/>
    <cellStyle name="Entrada 2 18" xfId="1405"/>
    <cellStyle name="Entrada 2 19" xfId="1406"/>
    <cellStyle name="Entrada 2 2" xfId="1407"/>
    <cellStyle name="Entrada 2 20" xfId="1408"/>
    <cellStyle name="Entrada 2 21" xfId="1409"/>
    <cellStyle name="Entrada 2 3" xfId="1410"/>
    <cellStyle name="Entrada 2 4" xfId="1411"/>
    <cellStyle name="Entrada 2 5" xfId="1412"/>
    <cellStyle name="Entrada 2 6" xfId="1413"/>
    <cellStyle name="Entrada 2 7" xfId="1414"/>
    <cellStyle name="Entrada 2 8" xfId="1415"/>
    <cellStyle name="Entrada 2 9" xfId="1416"/>
    <cellStyle name="Entrada 20" xfId="1417"/>
    <cellStyle name="Entrada 21" xfId="1418"/>
    <cellStyle name="Entrada 3" xfId="1419"/>
    <cellStyle name="Entrada 4" xfId="1420"/>
    <cellStyle name="Entrada 5" xfId="1421"/>
    <cellStyle name="Entrada 6" xfId="1422"/>
    <cellStyle name="Entrada 7" xfId="1423"/>
    <cellStyle name="Entrada 8" xfId="1424"/>
    <cellStyle name="Entrada 9" xfId="1425"/>
    <cellStyle name="Entries" xfId="1426"/>
    <cellStyle name="Estilo 1" xfId="1427"/>
    <cellStyle name="Estilo 1 2" xfId="1428"/>
    <cellStyle name="Estilo 1 2 2" xfId="1429"/>
    <cellStyle name="Estilo 1 3" xfId="1430"/>
    <cellStyle name="Euro" xfId="1431"/>
    <cellStyle name="Euro 2" xfId="1432"/>
    <cellStyle name="Euro 3" xfId="1433"/>
    <cellStyle name="Excel Built-in Normal" xfId="1434"/>
    <cellStyle name="Explanatory Text" xfId="1435"/>
    <cellStyle name="Fixed" xfId="1436"/>
    <cellStyle name="Fixed1 - Style1" xfId="1437"/>
    <cellStyle name="Good" xfId="1438"/>
    <cellStyle name="Grey" xfId="1439"/>
    <cellStyle name="Header" xfId="1440"/>
    <cellStyle name="Header1" xfId="1441"/>
    <cellStyle name="Header2" xfId="1442"/>
    <cellStyle name="Heading" xfId="1443"/>
    <cellStyle name="Heading 1" xfId="1444"/>
    <cellStyle name="Heading 2" xfId="1445"/>
    <cellStyle name="Heading 3" xfId="1446"/>
    <cellStyle name="Heading 4" xfId="1447"/>
    <cellStyle name="Heading No Underline" xfId="1448"/>
    <cellStyle name="Heading No Underline 2" xfId="1449"/>
    <cellStyle name="Heading No Underline_Worksheet in J: MARKETING Templates D&amp;T Templates Noviembre 2002 Informe Modelo" xfId="5"/>
    <cellStyle name="Heading With Underline" xfId="1450"/>
    <cellStyle name="Heading With Underline 2" xfId="1451"/>
    <cellStyle name="Heading With Underline 3" xfId="1452"/>
    <cellStyle name="Heading With Underline_Worksheet in J: MARKETING Templates D&amp;T Templates Noviembre 2002 Informe Modelo" xfId="1453"/>
    <cellStyle name="Incorrecto 10" xfId="1454"/>
    <cellStyle name="Incorrecto 11" xfId="1455"/>
    <cellStyle name="Incorrecto 12" xfId="1456"/>
    <cellStyle name="Incorrecto 13" xfId="1457"/>
    <cellStyle name="Incorrecto 14" xfId="1458"/>
    <cellStyle name="Incorrecto 15" xfId="1459"/>
    <cellStyle name="Incorrecto 16" xfId="1460"/>
    <cellStyle name="Incorrecto 17" xfId="1461"/>
    <cellStyle name="Incorrecto 18" xfId="1462"/>
    <cellStyle name="Incorrecto 19" xfId="1463"/>
    <cellStyle name="Incorrecto 2" xfId="1464"/>
    <cellStyle name="Incorrecto 2 10" xfId="1465"/>
    <cellStyle name="Incorrecto 2 11" xfId="1466"/>
    <cellStyle name="Incorrecto 2 12" xfId="1467"/>
    <cellStyle name="Incorrecto 2 13" xfId="1468"/>
    <cellStyle name="Incorrecto 2 14" xfId="1469"/>
    <cellStyle name="Incorrecto 2 15" xfId="1470"/>
    <cellStyle name="Incorrecto 2 16" xfId="1471"/>
    <cellStyle name="Incorrecto 2 17" xfId="1472"/>
    <cellStyle name="Incorrecto 2 18" xfId="1473"/>
    <cellStyle name="Incorrecto 2 19" xfId="1474"/>
    <cellStyle name="Incorrecto 2 2" xfId="1475"/>
    <cellStyle name="Incorrecto 2 20" xfId="1476"/>
    <cellStyle name="Incorrecto 2 21" xfId="1477"/>
    <cellStyle name="Incorrecto 2 3" xfId="1478"/>
    <cellStyle name="Incorrecto 2 4" xfId="1479"/>
    <cellStyle name="Incorrecto 2 5" xfId="1480"/>
    <cellStyle name="Incorrecto 2 6" xfId="1481"/>
    <cellStyle name="Incorrecto 2 7" xfId="1482"/>
    <cellStyle name="Incorrecto 2 8" xfId="1483"/>
    <cellStyle name="Incorrecto 2 9" xfId="1484"/>
    <cellStyle name="Incorrecto 20" xfId="1485"/>
    <cellStyle name="Incorrecto 21" xfId="1486"/>
    <cellStyle name="Incorrecto 3" xfId="1487"/>
    <cellStyle name="Incorrecto 4" xfId="1488"/>
    <cellStyle name="Incorrecto 5" xfId="1489"/>
    <cellStyle name="Incorrecto 6" xfId="1490"/>
    <cellStyle name="Incorrecto 7" xfId="1491"/>
    <cellStyle name="Incorrecto 8" xfId="1492"/>
    <cellStyle name="Incorrecto 9" xfId="1493"/>
    <cellStyle name="Input" xfId="1494"/>
    <cellStyle name="Input [yellow]" xfId="1495"/>
    <cellStyle name="Input2" xfId="1496"/>
    <cellStyle name="Komórka połączona" xfId="1497"/>
    <cellStyle name="Komórka zaznaczona" xfId="1498"/>
    <cellStyle name="Lien hypertexte" xfId="1499"/>
    <cellStyle name="Lien hypertexte 2" xfId="1500"/>
    <cellStyle name="Lien hypertexte 2 2" xfId="1501"/>
    <cellStyle name="Lien hypertexte visité" xfId="1502"/>
    <cellStyle name="Lien hypertexte visité 2" xfId="1503"/>
    <cellStyle name="Lien hypertexte visité 2 2" xfId="1504"/>
    <cellStyle name="Lien hypertexte_Cashflow" xfId="1505"/>
    <cellStyle name="Linea_cero" xfId="1506"/>
    <cellStyle name="Linked Cell" xfId="1507"/>
    <cellStyle name="Mes 1" xfId="1508"/>
    <cellStyle name="Migliaia (0)_9a operazione" xfId="1509"/>
    <cellStyle name="Migliaia [0]_Riepilogo IAS CAMBI per Contabilità 31 12 06 inviato Final" xfId="1510"/>
    <cellStyle name="Migliaia_Riepilogo IAS CAMBI per Contabilità 31 12 06 inviato Final" xfId="1511"/>
    <cellStyle name="Millares" xfId="1" builtinId="3"/>
    <cellStyle name="Millares [0]" xfId="7" builtinId="6"/>
    <cellStyle name="Millares [0] 2" xfId="1512"/>
    <cellStyle name="Millares [0] 4" xfId="1513"/>
    <cellStyle name="Millares 10" xfId="8"/>
    <cellStyle name="Millares 10 2" xfId="1514"/>
    <cellStyle name="Millares 10 2 10" xfId="1515"/>
    <cellStyle name="Millares 10 2 2" xfId="1516"/>
    <cellStyle name="Millares 10 2 3" xfId="1517"/>
    <cellStyle name="Millares 10 2 4" xfId="1518"/>
    <cellStyle name="Millares 10 2 5" xfId="1519"/>
    <cellStyle name="Millares 10 2 6" xfId="1520"/>
    <cellStyle name="Millares 10 2 6 2" xfId="1521"/>
    <cellStyle name="Millares 10 2 6 3" xfId="1522"/>
    <cellStyle name="Millares 10 2 7" xfId="1523"/>
    <cellStyle name="Millares 10 2 8" xfId="1524"/>
    <cellStyle name="Millares 10 2 9" xfId="1525"/>
    <cellStyle name="Millares 10 2 9 2" xfId="1526"/>
    <cellStyle name="Millares 10 3" xfId="1527"/>
    <cellStyle name="Millares 10 4" xfId="1528"/>
    <cellStyle name="Millares 10 5" xfId="1529"/>
    <cellStyle name="Millares 100" xfId="1530"/>
    <cellStyle name="Millares 101" xfId="1531"/>
    <cellStyle name="Millares 102" xfId="1532"/>
    <cellStyle name="Millares 103" xfId="1533"/>
    <cellStyle name="Millares 104" xfId="1534"/>
    <cellStyle name="Millares 104 10" xfId="1535"/>
    <cellStyle name="Millares 104 10 2" xfId="1536"/>
    <cellStyle name="Millares 104 11" xfId="1537"/>
    <cellStyle name="Millares 104 11 2" xfId="1538"/>
    <cellStyle name="Millares 104 12" xfId="1539"/>
    <cellStyle name="Millares 104 12 2" xfId="1540"/>
    <cellStyle name="Millares 104 13" xfId="1541"/>
    <cellStyle name="Millares 104 13 2" xfId="1542"/>
    <cellStyle name="Millares 104 14" xfId="1543"/>
    <cellStyle name="Millares 104 2" xfId="1544"/>
    <cellStyle name="Millares 104 2 2" xfId="1545"/>
    <cellStyle name="Millares 104 2 2 2" xfId="1546"/>
    <cellStyle name="Millares 104 2 3" xfId="1547"/>
    <cellStyle name="Millares 104 2 3 2" xfId="1548"/>
    <cellStyle name="Millares 104 2 4" xfId="1549"/>
    <cellStyle name="Millares 104 3" xfId="1550"/>
    <cellStyle name="Millares 104 3 2" xfId="1551"/>
    <cellStyle name="Millares 104 3 2 2" xfId="1552"/>
    <cellStyle name="Millares 104 3 3" xfId="1553"/>
    <cellStyle name="Millares 104 3 3 2" xfId="1554"/>
    <cellStyle name="Millares 104 3 4" xfId="1555"/>
    <cellStyle name="Millares 104 4" xfId="1556"/>
    <cellStyle name="Millares 104 4 2" xfId="1557"/>
    <cellStyle name="Millares 104 5" xfId="1558"/>
    <cellStyle name="Millares 104 5 2" xfId="1559"/>
    <cellStyle name="Millares 104 6" xfId="1560"/>
    <cellStyle name="Millares 104 6 2" xfId="1561"/>
    <cellStyle name="Millares 104 7" xfId="1562"/>
    <cellStyle name="Millares 104 7 2" xfId="1563"/>
    <cellStyle name="Millares 104 8" xfId="1564"/>
    <cellStyle name="Millares 104 8 2" xfId="1565"/>
    <cellStyle name="Millares 104 9" xfId="1566"/>
    <cellStyle name="Millares 104 9 2" xfId="1567"/>
    <cellStyle name="Millares 105" xfId="1568"/>
    <cellStyle name="Millares 106" xfId="1569"/>
    <cellStyle name="Millares 106 2" xfId="1570"/>
    <cellStyle name="Millares 106 2 2" xfId="1571"/>
    <cellStyle name="Millares 106 3" xfId="1572"/>
    <cellStyle name="Millares 107" xfId="1573"/>
    <cellStyle name="Millares 107 2" xfId="1574"/>
    <cellStyle name="Millares 107 2 2" xfId="1575"/>
    <cellStyle name="Millares 107 2 2 2" xfId="1576"/>
    <cellStyle name="Millares 107 2 3" xfId="1577"/>
    <cellStyle name="Millares 107 2 3 2" xfId="1578"/>
    <cellStyle name="Millares 107 2 4" xfId="1579"/>
    <cellStyle name="Millares 107 2 4 2" xfId="1580"/>
    <cellStyle name="Millares 107 2 4 2 2" xfId="1581"/>
    <cellStyle name="Millares 107 2 4 2 2 2" xfId="1582"/>
    <cellStyle name="Millares 107 2 4 2 3" xfId="1583"/>
    <cellStyle name="Millares 107 2 4 2 3 2" xfId="1584"/>
    <cellStyle name="Millares 107 2 4 2 3 2 2" xfId="1585"/>
    <cellStyle name="Millares 107 2 4 2 3 3" xfId="1586"/>
    <cellStyle name="Millares 107 2 4 2 3 3 2" xfId="1587"/>
    <cellStyle name="Millares 107 2 4 2 3 4" xfId="1588"/>
    <cellStyle name="Millares 107 2 4 2 3 4 2" xfId="1589"/>
    <cellStyle name="Millares 107 2 4 2 3 5" xfId="1590"/>
    <cellStyle name="Millares 107 2 4 2 3 5 2" xfId="1591"/>
    <cellStyle name="Millares 107 2 4 2 3 6" xfId="1592"/>
    <cellStyle name="Millares 107 2 4 2 3 6 2" xfId="1593"/>
    <cellStyle name="Millares 107 2 4 2 3 7" xfId="1594"/>
    <cellStyle name="Millares 107 2 4 2 3 7 2" xfId="1595"/>
    <cellStyle name="Millares 107 2 4 2 3 8" xfId="1596"/>
    <cellStyle name="Millares 107 2 4 2 4" xfId="1597"/>
    <cellStyle name="Millares 107 2 4 2 4 2" xfId="1598"/>
    <cellStyle name="Millares 107 2 4 2 5" xfId="1599"/>
    <cellStyle name="Millares 107 2 4 3" xfId="1600"/>
    <cellStyle name="Millares 107 2 4 3 2" xfId="1601"/>
    <cellStyle name="Millares 107 2 4 4" xfId="1602"/>
    <cellStyle name="Millares 107 2 4 4 2" xfId="1603"/>
    <cellStyle name="Millares 107 2 4 5" xfId="1604"/>
    <cellStyle name="Millares 107 2 5" xfId="1605"/>
    <cellStyle name="Millares 107 3" xfId="1606"/>
    <cellStyle name="Millares 107 3 2" xfId="1607"/>
    <cellStyle name="Millares 107 3 2 2" xfId="1608"/>
    <cellStyle name="Millares 107 3 2 2 2" xfId="1609"/>
    <cellStyle name="Millares 107 3 2 3" xfId="1610"/>
    <cellStyle name="Millares 107 3 2 3 2" xfId="1611"/>
    <cellStyle name="Millares 107 3 2 4" xfId="1612"/>
    <cellStyle name="Millares 107 3 2 4 2" xfId="1613"/>
    <cellStyle name="Millares 107 3 2 5" xfId="1614"/>
    <cellStyle name="Millares 107 3 3" xfId="1615"/>
    <cellStyle name="Millares 107 4" xfId="1616"/>
    <cellStyle name="Millares 108" xfId="1617"/>
    <cellStyle name="Millares 108 2" xfId="1618"/>
    <cellStyle name="Millares 109" xfId="1619"/>
    <cellStyle name="Millares 11" xfId="1620"/>
    <cellStyle name="Millares 11 2" xfId="1621"/>
    <cellStyle name="Millares 11 2 2" xfId="1622"/>
    <cellStyle name="Millares 11 2 3" xfId="1623"/>
    <cellStyle name="Millares 11 3" xfId="1624"/>
    <cellStyle name="Millares 110" xfId="1625"/>
    <cellStyle name="Millares 110 2" xfId="1626"/>
    <cellStyle name="Millares 110 2 2" xfId="1627"/>
    <cellStyle name="Millares 110 2 2 2" xfId="1628"/>
    <cellStyle name="Millares 110 2 3" xfId="1629"/>
    <cellStyle name="Millares 110 2 3 2" xfId="1630"/>
    <cellStyle name="Millares 110 2 3 2 2" xfId="1631"/>
    <cellStyle name="Millares 110 2 3 2 2 2" xfId="1632"/>
    <cellStyle name="Millares 110 2 3 2 3" xfId="1633"/>
    <cellStyle name="Millares 110 2 3 2 3 2" xfId="1634"/>
    <cellStyle name="Millares 110 2 3 2 3 2 2" xfId="1635"/>
    <cellStyle name="Millares 110 2 3 2 3 2 2 2" xfId="1636"/>
    <cellStyle name="Millares 110 2 3 2 3 2 3" xfId="1637"/>
    <cellStyle name="Millares 110 2 3 2 3 3" xfId="1638"/>
    <cellStyle name="Millares 110 2 3 2 4" xfId="1639"/>
    <cellStyle name="Millares 110 2 3 2 4 2" xfId="1640"/>
    <cellStyle name="Millares 110 2 3 2 5" xfId="1641"/>
    <cellStyle name="Millares 110 2 3 3" xfId="1642"/>
    <cellStyle name="Millares 110 2 3 3 2" xfId="1643"/>
    <cellStyle name="Millares 110 2 3 4" xfId="1644"/>
    <cellStyle name="Millares 110 2 3 4 2" xfId="1645"/>
    <cellStyle name="Millares 110 2 3 5" xfId="1646"/>
    <cellStyle name="Millares 110 2 4" xfId="1647"/>
    <cellStyle name="Millares 110 3" xfId="1648"/>
    <cellStyle name="Millares 111" xfId="1649"/>
    <cellStyle name="Millares 112" xfId="1650"/>
    <cellStyle name="Millares 112 2" xfId="1651"/>
    <cellStyle name="Millares 113" xfId="1652"/>
    <cellStyle name="Millares 113 2" xfId="1653"/>
    <cellStyle name="Millares 114" xfId="1654"/>
    <cellStyle name="Millares 114 2" xfId="1655"/>
    <cellStyle name="Millares 115" xfId="1656"/>
    <cellStyle name="Millares 115 2" xfId="1657"/>
    <cellStyle name="Millares 115 2 2" xfId="1658"/>
    <cellStyle name="Millares 115 3" xfId="1659"/>
    <cellStyle name="Millares 115 3 2" xfId="1660"/>
    <cellStyle name="Millares 115 4" xfId="1661"/>
    <cellStyle name="Millares 115 4 2" xfId="1662"/>
    <cellStyle name="Millares 115 5" xfId="1663"/>
    <cellStyle name="Millares 116" xfId="1664"/>
    <cellStyle name="Millares 116 2" xfId="1665"/>
    <cellStyle name="Millares 117" xfId="1666"/>
    <cellStyle name="Millares 117 2" xfId="1667"/>
    <cellStyle name="Millares 118" xfId="1668"/>
    <cellStyle name="Millares 118 2" xfId="1669"/>
    <cellStyle name="Millares 119" xfId="1670"/>
    <cellStyle name="Millares 119 2" xfId="1671"/>
    <cellStyle name="Millares 12" xfId="1672"/>
    <cellStyle name="Millares 12 2" xfId="1673"/>
    <cellStyle name="Millares 120" xfId="1674"/>
    <cellStyle name="Millares 120 2" xfId="1675"/>
    <cellStyle name="Millares 121" xfId="1676"/>
    <cellStyle name="Millares 121 2" xfId="1677"/>
    <cellStyle name="Millares 122" xfId="1678"/>
    <cellStyle name="Millares 122 2" xfId="1679"/>
    <cellStyle name="Millares 123" xfId="1680"/>
    <cellStyle name="Millares 123 2" xfId="1681"/>
    <cellStyle name="Millares 124" xfId="1682"/>
    <cellStyle name="Millares 124 2" xfId="1683"/>
    <cellStyle name="Millares 125" xfId="1684"/>
    <cellStyle name="Millares 125 2" xfId="1685"/>
    <cellStyle name="Millares 126" xfId="1686"/>
    <cellStyle name="Millares 126 2" xfId="1687"/>
    <cellStyle name="Millares 127" xfId="1688"/>
    <cellStyle name="Millares 127 2" xfId="1689"/>
    <cellStyle name="Millares 128" xfId="1690"/>
    <cellStyle name="Millares 128 2" xfId="1691"/>
    <cellStyle name="Millares 128 2 2" xfId="1692"/>
    <cellStyle name="Millares 128 3" xfId="1693"/>
    <cellStyle name="Millares 129" xfId="1694"/>
    <cellStyle name="Millares 129 2" xfId="1695"/>
    <cellStyle name="Millares 129 2 2" xfId="1696"/>
    <cellStyle name="Millares 129 2 2 2" xfId="1697"/>
    <cellStyle name="Millares 129 2 2 2 2" xfId="1698"/>
    <cellStyle name="Millares 129 2 2 3" xfId="1699"/>
    <cellStyle name="Millares 129 2 3" xfId="1700"/>
    <cellStyle name="Millares 129 3" xfId="1701"/>
    <cellStyle name="Millares 13" xfId="1702"/>
    <cellStyle name="Millares 13 2" xfId="1703"/>
    <cellStyle name="Millares 130" xfId="1704"/>
    <cellStyle name="Millares 130 2" xfId="1705"/>
    <cellStyle name="Millares 131" xfId="1706"/>
    <cellStyle name="Millares 131 2" xfId="1707"/>
    <cellStyle name="Millares 131 2 2" xfId="1708"/>
    <cellStyle name="Millares 131 3" xfId="1709"/>
    <cellStyle name="Millares 131 3 2" xfId="1710"/>
    <cellStyle name="Millares 131 4" xfId="1711"/>
    <cellStyle name="Millares 132" xfId="1712"/>
    <cellStyle name="Millares 133" xfId="1713"/>
    <cellStyle name="Millares 133 2" xfId="1714"/>
    <cellStyle name="Millares 134" xfId="1715"/>
    <cellStyle name="Millares 134 2" xfId="1716"/>
    <cellStyle name="Millares 135" xfId="1717"/>
    <cellStyle name="Millares 136" xfId="1718"/>
    <cellStyle name="Millares 136 2" xfId="1719"/>
    <cellStyle name="Millares 137" xfId="1720"/>
    <cellStyle name="Millares 137 2" xfId="1721"/>
    <cellStyle name="Millares 137 2 2" xfId="1722"/>
    <cellStyle name="Millares 137 3" xfId="1723"/>
    <cellStyle name="Millares 138" xfId="1724"/>
    <cellStyle name="Millares 138 2" xfId="1725"/>
    <cellStyle name="Millares 138 2 2" xfId="1726"/>
    <cellStyle name="Millares 138 3" xfId="1727"/>
    <cellStyle name="Millares 139" xfId="1728"/>
    <cellStyle name="Millares 139 2" xfId="1729"/>
    <cellStyle name="Millares 139 2 2" xfId="1730"/>
    <cellStyle name="Millares 139 3" xfId="1731"/>
    <cellStyle name="Millares 14" xfId="1732"/>
    <cellStyle name="Millares 14 2" xfId="1733"/>
    <cellStyle name="Millares 140" xfId="1734"/>
    <cellStyle name="Millares 140 2" xfId="1735"/>
    <cellStyle name="Millares 140 2 2" xfId="1736"/>
    <cellStyle name="Millares 140 3" xfId="1737"/>
    <cellStyle name="Millares 141" xfId="1738"/>
    <cellStyle name="Millares 141 2" xfId="1739"/>
    <cellStyle name="Millares 142" xfId="1740"/>
    <cellStyle name="Millares 142 2" xfId="1741"/>
    <cellStyle name="Millares 143" xfId="1742"/>
    <cellStyle name="Millares 144" xfId="1743"/>
    <cellStyle name="Millares 144 2" xfId="1744"/>
    <cellStyle name="Millares 145" xfId="1745"/>
    <cellStyle name="Millares 145 2" xfId="1746"/>
    <cellStyle name="Millares 146" xfId="1747"/>
    <cellStyle name="Millares 146 2" xfId="1748"/>
    <cellStyle name="Millares 147" xfId="1749"/>
    <cellStyle name="Millares 147 2" xfId="1750"/>
    <cellStyle name="Millares 148" xfId="1751"/>
    <cellStyle name="Millares 149" xfId="1752"/>
    <cellStyle name="Millares 15" xfId="1753"/>
    <cellStyle name="Millares 15 2" xfId="1754"/>
    <cellStyle name="Millares 15 2 2" xfId="1755"/>
    <cellStyle name="Millares 15 2 2 2" xfId="1756"/>
    <cellStyle name="Millares 15 2 3" xfId="1757"/>
    <cellStyle name="Millares 15 3" xfId="1758"/>
    <cellStyle name="Millares 150" xfId="1759"/>
    <cellStyle name="Millares 150 2" xfId="1760"/>
    <cellStyle name="Millares 151" xfId="1761"/>
    <cellStyle name="Millares 151 2" xfId="1762"/>
    <cellStyle name="Millares 152" xfId="1763"/>
    <cellStyle name="Millares 153" xfId="1764"/>
    <cellStyle name="Millares 154" xfId="1765"/>
    <cellStyle name="Millares 154 2" xfId="1766"/>
    <cellStyle name="Millares 155" xfId="1767"/>
    <cellStyle name="Millares 155 2" xfId="1768"/>
    <cellStyle name="Millares 156" xfId="1769"/>
    <cellStyle name="Millares 156 2" xfId="1770"/>
    <cellStyle name="Millares 157" xfId="1771"/>
    <cellStyle name="Millares 157 2" xfId="1772"/>
    <cellStyle name="Millares 158" xfId="1773"/>
    <cellStyle name="Millares 158 2" xfId="1774"/>
    <cellStyle name="Millares 159" xfId="1775"/>
    <cellStyle name="Millares 16" xfId="1776"/>
    <cellStyle name="Millares 160" xfId="1777"/>
    <cellStyle name="Millares 160 2" xfId="1778"/>
    <cellStyle name="Millares 161" xfId="1779"/>
    <cellStyle name="Millares 162" xfId="1780"/>
    <cellStyle name="Millares 163" xfId="3978"/>
    <cellStyle name="Millares 164" xfId="3979"/>
    <cellStyle name="Millares 165" xfId="3980"/>
    <cellStyle name="Millares 166" xfId="3981"/>
    <cellStyle name="Millares 167" xfId="3982"/>
    <cellStyle name="Millares 168" xfId="3983"/>
    <cellStyle name="Millares 169" xfId="3984"/>
    <cellStyle name="Millares 17" xfId="1781"/>
    <cellStyle name="Millares 17 2" xfId="1782"/>
    <cellStyle name="Millares 17 2 2" xfId="1783"/>
    <cellStyle name="Millares 17 2 2 2" xfId="1784"/>
    <cellStyle name="Millares 17 2 2 2 2" xfId="1785"/>
    <cellStyle name="Millares 17 2 2 3" xfId="1786"/>
    <cellStyle name="Millares 17 2 3" xfId="1787"/>
    <cellStyle name="Millares 17 2 3 2" xfId="1788"/>
    <cellStyle name="Millares 17 2 3 2 2" xfId="1789"/>
    <cellStyle name="Millares 17 2 3 2 2 2" xfId="1790"/>
    <cellStyle name="Millares 17 2 3 2 2 2 2" xfId="1791"/>
    <cellStyle name="Millares 17 2 3 2 2 3" xfId="1792"/>
    <cellStyle name="Millares 17 2 3 2 3" xfId="1793"/>
    <cellStyle name="Millares 17 2 3 2 3 2" xfId="1794"/>
    <cellStyle name="Millares 17 2 3 2 3 2 2" xfId="1795"/>
    <cellStyle name="Millares 17 2 3 2 3 2 2 2" xfId="1796"/>
    <cellStyle name="Millares 17 2 3 2 3 2 3" xfId="1797"/>
    <cellStyle name="Millares 17 2 3 2 3 3" xfId="1798"/>
    <cellStyle name="Millares 17 2 3 2 3 3 2" xfId="1799"/>
    <cellStyle name="Millares 17 2 3 2 3 4" xfId="1800"/>
    <cellStyle name="Millares 17 2 3 2 4" xfId="1801"/>
    <cellStyle name="Millares 17 2 3 2 4 2" xfId="1802"/>
    <cellStyle name="Millares 17 2 3 2 5" xfId="1803"/>
    <cellStyle name="Millares 17 2 3 3" xfId="1804"/>
    <cellStyle name="Millares 17 2 3 3 2" xfId="1805"/>
    <cellStyle name="Millares 17 2 3 4" xfId="1806"/>
    <cellStyle name="Millares 17 2 4" xfId="1807"/>
    <cellStyle name="Millares 17 2 4 2" xfId="1808"/>
    <cellStyle name="Millares 17 2 4 2 2" xfId="1809"/>
    <cellStyle name="Millares 17 2 4 2 2 2" xfId="1810"/>
    <cellStyle name="Millares 17 2 4 2 3" xfId="1811"/>
    <cellStyle name="Millares 17 2 4 3" xfId="1812"/>
    <cellStyle name="Millares 17 2 4 3 2" xfId="1813"/>
    <cellStyle name="Millares 17 2 4 3 2 2" xfId="1814"/>
    <cellStyle name="Millares 17 2 4 3 2 2 2" xfId="1815"/>
    <cellStyle name="Millares 17 2 4 3 2 2 2 2" xfId="1816"/>
    <cellStyle name="Millares 17 2 4 3 2 2 3" xfId="1817"/>
    <cellStyle name="Millares 17 2 4 3 2 3" xfId="1818"/>
    <cellStyle name="Millares 17 2 4 3 2 3 2" xfId="1819"/>
    <cellStyle name="Millares 17 2 4 3 2 4" xfId="1820"/>
    <cellStyle name="Millares 17 2 4 3 2 4 2" xfId="1821"/>
    <cellStyle name="Millares 17 2 4 3 2 4 2 2" xfId="1822"/>
    <cellStyle name="Millares 17 2 4 3 2 4 3" xfId="1823"/>
    <cellStyle name="Millares 17 2 4 3 2 4 3 2" xfId="1824"/>
    <cellStyle name="Millares 17 2 4 3 2 4 4" xfId="1825"/>
    <cellStyle name="Millares 17 2 4 3 2 4 4 2" xfId="1826"/>
    <cellStyle name="Millares 17 2 4 3 2 4 4 2 2" xfId="1827"/>
    <cellStyle name="Millares 17 2 4 3 2 4 4 2 2 2" xfId="1828"/>
    <cellStyle name="Millares 17 2 4 3 2 4 4 2 3" xfId="1829"/>
    <cellStyle name="Millares 17 2 4 3 2 4 4 2 3 2" xfId="1830"/>
    <cellStyle name="Millares 17 2 4 3 2 4 4 2 3 2 2" xfId="1831"/>
    <cellStyle name="Millares 17 2 4 3 2 4 4 2 3 2 2 2" xfId="1832"/>
    <cellStyle name="Millares 17 2 4 3 2 4 4 2 3 2 3" xfId="1833"/>
    <cellStyle name="Millares 17 2 4 3 2 4 4 2 3 3" xfId="1834"/>
    <cellStyle name="Millares 17 2 4 3 2 4 4 2 4" xfId="1835"/>
    <cellStyle name="Millares 17 2 4 3 2 4 4 2 4 2" xfId="1836"/>
    <cellStyle name="Millares 17 2 4 3 2 4 4 2 5" xfId="1837"/>
    <cellStyle name="Millares 17 2 4 3 2 4 4 3" xfId="1838"/>
    <cellStyle name="Millares 17 2 4 3 2 4 4 3 2" xfId="1839"/>
    <cellStyle name="Millares 17 2 4 3 2 4 4 4" xfId="1840"/>
    <cellStyle name="Millares 17 2 4 3 2 4 4 4 2" xfId="1841"/>
    <cellStyle name="Millares 17 2 4 3 2 4 4 5" xfId="1842"/>
    <cellStyle name="Millares 17 2 4 3 2 4 5" xfId="1843"/>
    <cellStyle name="Millares 17 2 4 3 2 5" xfId="1844"/>
    <cellStyle name="Millares 17 2 4 3 3" xfId="1845"/>
    <cellStyle name="Millares 17 2 4 3 3 2" xfId="1846"/>
    <cellStyle name="Millares 17 2 4 3 4" xfId="1847"/>
    <cellStyle name="Millares 17 2 4 4" xfId="1848"/>
    <cellStyle name="Millares 17 2 4 4 2" xfId="1849"/>
    <cellStyle name="Millares 17 2 4 5" xfId="1850"/>
    <cellStyle name="Millares 17 2 5" xfId="1851"/>
    <cellStyle name="Millares 17 2 5 2" xfId="1852"/>
    <cellStyle name="Millares 17 2 5 2 2" xfId="1853"/>
    <cellStyle name="Millares 17 2 5 2 2 10" xfId="1854"/>
    <cellStyle name="Millares 17 2 5 2 2 10 2" xfId="1855"/>
    <cellStyle name="Millares 17 2 5 2 2 11" xfId="1856"/>
    <cellStyle name="Millares 17 2 5 2 2 11 2" xfId="1857"/>
    <cellStyle name="Millares 17 2 5 2 2 12" xfId="1858"/>
    <cellStyle name="Millares 17 2 5 2 2 2" xfId="1859"/>
    <cellStyle name="Millares 17 2 5 2 2 2 2" xfId="1860"/>
    <cellStyle name="Millares 17 2 5 2 2 3" xfId="1861"/>
    <cellStyle name="Millares 17 2 5 2 2 3 2" xfId="1862"/>
    <cellStyle name="Millares 17 2 5 2 2 4" xfId="1863"/>
    <cellStyle name="Millares 17 2 5 2 2 4 2" xfId="1864"/>
    <cellStyle name="Millares 17 2 5 2 2 5" xfId="1865"/>
    <cellStyle name="Millares 17 2 5 2 2 5 2" xfId="1866"/>
    <cellStyle name="Millares 17 2 5 2 2 6" xfId="1867"/>
    <cellStyle name="Millares 17 2 5 2 2 6 2" xfId="1868"/>
    <cellStyle name="Millares 17 2 5 2 2 7" xfId="1869"/>
    <cellStyle name="Millares 17 2 5 2 2 7 2" xfId="1870"/>
    <cellStyle name="Millares 17 2 5 2 2 8" xfId="1871"/>
    <cellStyle name="Millares 17 2 5 2 2 8 2" xfId="1872"/>
    <cellStyle name="Millares 17 2 5 2 2 9" xfId="1873"/>
    <cellStyle name="Millares 17 2 5 2 2 9 2" xfId="1874"/>
    <cellStyle name="Millares 17 2 5 2 3" xfId="1875"/>
    <cellStyle name="Millares 17 2 5 2 3 2" xfId="1876"/>
    <cellStyle name="Millares 17 2 5 2 4" xfId="1877"/>
    <cellStyle name="Millares 17 2 5 3" xfId="1878"/>
    <cellStyle name="Millares 17 2 5 3 2" xfId="1879"/>
    <cellStyle name="Millares 17 2 5 4" xfId="1880"/>
    <cellStyle name="Millares 17 2 6" xfId="1881"/>
    <cellStyle name="Millares 17 2 6 2" xfId="1882"/>
    <cellStyle name="Millares 17 2 7" xfId="1883"/>
    <cellStyle name="Millares 170" xfId="3985"/>
    <cellStyle name="Millares 171" xfId="3986"/>
    <cellStyle name="Millares 172" xfId="3987"/>
    <cellStyle name="Millares 173" xfId="3988"/>
    <cellStyle name="Millares 174" xfId="3989"/>
    <cellStyle name="Millares 175" xfId="3990"/>
    <cellStyle name="Millares 176" xfId="3991"/>
    <cellStyle name="Millares 178" xfId="1884"/>
    <cellStyle name="Millares 18" xfId="1885"/>
    <cellStyle name="Millares 19" xfId="1886"/>
    <cellStyle name="Millares 2" xfId="1887"/>
    <cellStyle name="Millares 2 10" xfId="1888"/>
    <cellStyle name="Millares 2 10 2" xfId="1889"/>
    <cellStyle name="Millares 2 11" xfId="1890"/>
    <cellStyle name="Millares 2 12" xfId="1891"/>
    <cellStyle name="Millares 2 13" xfId="1892"/>
    <cellStyle name="Millares 2 14" xfId="1893"/>
    <cellStyle name="Millares 2 15" xfId="1894"/>
    <cellStyle name="Millares 2 16" xfId="1895"/>
    <cellStyle name="Millares 2 17" xfId="1896"/>
    <cellStyle name="Millares 2 18" xfId="1897"/>
    <cellStyle name="Millares 2 19" xfId="1898"/>
    <cellStyle name="Millares 2 2" xfId="1899"/>
    <cellStyle name="Millares 2 2 10" xfId="1900"/>
    <cellStyle name="Millares 2 2 11" xfId="1901"/>
    <cellStyle name="Millares 2 2 12" xfId="1902"/>
    <cellStyle name="Millares 2 2 13" xfId="1903"/>
    <cellStyle name="Millares 2 2 14" xfId="1904"/>
    <cellStyle name="Millares 2 2 15" xfId="1905"/>
    <cellStyle name="Millares 2 2 16" xfId="1906"/>
    <cellStyle name="Millares 2 2 17" xfId="1907"/>
    <cellStyle name="Millares 2 2 18" xfId="1908"/>
    <cellStyle name="Millares 2 2 19" xfId="1909"/>
    <cellStyle name="Millares 2 2 2" xfId="1910"/>
    <cellStyle name="Millares 2 2 2 10" xfId="1911"/>
    <cellStyle name="Millares 2 2 2 11" xfId="1912"/>
    <cellStyle name="Millares 2 2 2 12" xfId="1913"/>
    <cellStyle name="Millares 2 2 2 13" xfId="1914"/>
    <cellStyle name="Millares 2 2 2 14" xfId="1915"/>
    <cellStyle name="Millares 2 2 2 15" xfId="1916"/>
    <cellStyle name="Millares 2 2 2 16" xfId="1917"/>
    <cellStyle name="Millares 2 2 2 17" xfId="1918"/>
    <cellStyle name="Millares 2 2 2 18" xfId="1919"/>
    <cellStyle name="Millares 2 2 2 19" xfId="1920"/>
    <cellStyle name="Millares 2 2 2 2" xfId="1921"/>
    <cellStyle name="Millares 2 2 2 2 10" xfId="1922"/>
    <cellStyle name="Millares 2 2 2 2 11" xfId="1923"/>
    <cellStyle name="Millares 2 2 2 2 12" xfId="1924"/>
    <cellStyle name="Millares 2 2 2 2 13" xfId="1925"/>
    <cellStyle name="Millares 2 2 2 2 14" xfId="1926"/>
    <cellStyle name="Millares 2 2 2 2 15" xfId="1927"/>
    <cellStyle name="Millares 2 2 2 2 16" xfId="1928"/>
    <cellStyle name="Millares 2 2 2 2 17" xfId="1929"/>
    <cellStyle name="Millares 2 2 2 2 18" xfId="1930"/>
    <cellStyle name="Millares 2 2 2 2 19" xfId="1931"/>
    <cellStyle name="Millares 2 2 2 2 2" xfId="1932"/>
    <cellStyle name="Millares 2 2 2 2 20" xfId="1933"/>
    <cellStyle name="Millares 2 2 2 2 21" xfId="1934"/>
    <cellStyle name="Millares 2 2 2 2 3" xfId="1935"/>
    <cellStyle name="Millares 2 2 2 2 4" xfId="1936"/>
    <cellStyle name="Millares 2 2 2 2 5" xfId="1937"/>
    <cellStyle name="Millares 2 2 2 2 6" xfId="1938"/>
    <cellStyle name="Millares 2 2 2 2 7" xfId="1939"/>
    <cellStyle name="Millares 2 2 2 2 8" xfId="1940"/>
    <cellStyle name="Millares 2 2 2 2 9" xfId="1941"/>
    <cellStyle name="Millares 2 2 2 20" xfId="1942"/>
    <cellStyle name="Millares 2 2 2 21" xfId="1943"/>
    <cellStyle name="Millares 2 2 2 22" xfId="1944"/>
    <cellStyle name="Millares 2 2 2 3" xfId="1945"/>
    <cellStyle name="Millares 2 2 2 4" xfId="1946"/>
    <cellStyle name="Millares 2 2 2 5" xfId="1947"/>
    <cellStyle name="Millares 2 2 2 6" xfId="1948"/>
    <cellStyle name="Millares 2 2 2 7" xfId="1949"/>
    <cellStyle name="Millares 2 2 2 8" xfId="1950"/>
    <cellStyle name="Millares 2 2 2 9" xfId="1951"/>
    <cellStyle name="Millares 2 2 20" xfId="1952"/>
    <cellStyle name="Millares 2 2 21" xfId="1953"/>
    <cellStyle name="Millares 2 2 22" xfId="1954"/>
    <cellStyle name="Millares 2 2 23" xfId="1955"/>
    <cellStyle name="Millares 2 2 24" xfId="1956"/>
    <cellStyle name="Millares 2 2 25" xfId="1957"/>
    <cellStyle name="Millares 2 2 26" xfId="1958"/>
    <cellStyle name="Millares 2 2 27" xfId="1959"/>
    <cellStyle name="Millares 2 2 28" xfId="1960"/>
    <cellStyle name="Millares 2 2 3" xfId="1961"/>
    <cellStyle name="Millares 2 2 4" xfId="1962"/>
    <cellStyle name="Millares 2 2 5" xfId="1963"/>
    <cellStyle name="Millares 2 2 6" xfId="1964"/>
    <cellStyle name="Millares 2 2 6 2" xfId="1965"/>
    <cellStyle name="Millares 2 2 7" xfId="1966"/>
    <cellStyle name="Millares 2 2 8" xfId="1967"/>
    <cellStyle name="Millares 2 2 9" xfId="1968"/>
    <cellStyle name="Millares 2 20" xfId="1969"/>
    <cellStyle name="Millares 2 21" xfId="1970"/>
    <cellStyle name="Millares 2 22" xfId="1971"/>
    <cellStyle name="Millares 2 22 2" xfId="1972"/>
    <cellStyle name="Millares 2 22 2 2" xfId="1973"/>
    <cellStyle name="Millares 2 22 3" xfId="1974"/>
    <cellStyle name="Millares 2 23" xfId="1975"/>
    <cellStyle name="Millares 2 24" xfId="1976"/>
    <cellStyle name="Millares 2 24 2" xfId="1977"/>
    <cellStyle name="Millares 2 25" xfId="1978"/>
    <cellStyle name="Millares 2 26" xfId="1979"/>
    <cellStyle name="Millares 2 26 2" xfId="1980"/>
    <cellStyle name="Millares 2 26 2 2" xfId="1981"/>
    <cellStyle name="Millares 2 26 3" xfId="1982"/>
    <cellStyle name="Millares 2 27" xfId="1983"/>
    <cellStyle name="Millares 2 27 2" xfId="1984"/>
    <cellStyle name="Millares 2 27 2 2" xfId="1985"/>
    <cellStyle name="Millares 2 27 3" xfId="1986"/>
    <cellStyle name="Millares 2 28" xfId="1987"/>
    <cellStyle name="Millares 2 29" xfId="1988"/>
    <cellStyle name="Millares 2 29 2" xfId="1989"/>
    <cellStyle name="Millares 2 29 2 2" xfId="1990"/>
    <cellStyle name="Millares 2 29 3" xfId="1991"/>
    <cellStyle name="Millares 2 3" xfId="1992"/>
    <cellStyle name="Millares 2 3 2" xfId="1993"/>
    <cellStyle name="Millares 2 3 2 2" xfId="1994"/>
    <cellStyle name="Millares 2 3 3" xfId="1995"/>
    <cellStyle name="Millares 2 3 4" xfId="1996"/>
    <cellStyle name="Millares 2 3 4 2" xfId="1997"/>
    <cellStyle name="Millares 2 30" xfId="1998"/>
    <cellStyle name="Millares 2 30 2" xfId="1999"/>
    <cellStyle name="Millares 2 31" xfId="2000"/>
    <cellStyle name="Millares 2 32" xfId="2001"/>
    <cellStyle name="Millares 2 33" xfId="2002"/>
    <cellStyle name="Millares 2 34" xfId="2003"/>
    <cellStyle name="Millares 2 35" xfId="2004"/>
    <cellStyle name="Millares 2 36" xfId="2005"/>
    <cellStyle name="Millares 2 36 2" xfId="2006"/>
    <cellStyle name="Millares 2 37" xfId="2007"/>
    <cellStyle name="Millares 2 37 2" xfId="2008"/>
    <cellStyle name="Millares 2 38" xfId="2009"/>
    <cellStyle name="Millares 2 38 2" xfId="2010"/>
    <cellStyle name="Millares 2 39" xfId="2011"/>
    <cellStyle name="Millares 2 4" xfId="2012"/>
    <cellStyle name="Millares 2 4 2" xfId="2013"/>
    <cellStyle name="Millares 2 4 2 2" xfId="2014"/>
    <cellStyle name="Millares 2 4 2 3" xfId="2015"/>
    <cellStyle name="Millares 2 4 3" xfId="2016"/>
    <cellStyle name="Millares 2 4 4" xfId="2017"/>
    <cellStyle name="Millares 2 4 5" xfId="2018"/>
    <cellStyle name="Millares 2 4 6" xfId="2019"/>
    <cellStyle name="Millares 2 4 6 2" xfId="2020"/>
    <cellStyle name="Millares 2 40" xfId="2021"/>
    <cellStyle name="Millares 2 41" xfId="2022"/>
    <cellStyle name="Millares 2 42" xfId="2023"/>
    <cellStyle name="Millares 2 43" xfId="2024"/>
    <cellStyle name="Millares 2 44" xfId="2025"/>
    <cellStyle name="Millares 2 45" xfId="2026"/>
    <cellStyle name="Millares 2 46" xfId="2027"/>
    <cellStyle name="Millares 2 47" xfId="2028"/>
    <cellStyle name="Millares 2 48" xfId="2029"/>
    <cellStyle name="Millares 2 49" xfId="2030"/>
    <cellStyle name="Millares 2 5" xfId="2031"/>
    <cellStyle name="Millares 2 5 2" xfId="2032"/>
    <cellStyle name="Millares 2 50" xfId="2033"/>
    <cellStyle name="Millares 2 51" xfId="2034"/>
    <cellStyle name="Millares 2 52" xfId="2035"/>
    <cellStyle name="Millares 2 53" xfId="2036"/>
    <cellStyle name="Millares 2 54" xfId="2037"/>
    <cellStyle name="Millares 2 55" xfId="2038"/>
    <cellStyle name="Millares 2 56" xfId="2039"/>
    <cellStyle name="Millares 2 57" xfId="2040"/>
    <cellStyle name="Millares 2 58" xfId="2041"/>
    <cellStyle name="Millares 2 6" xfId="2042"/>
    <cellStyle name="Millares 2 6 2" xfId="2043"/>
    <cellStyle name="Millares 2 7" xfId="2044"/>
    <cellStyle name="Millares 2 8" xfId="2045"/>
    <cellStyle name="Millares 2 9" xfId="2046"/>
    <cellStyle name="Millares 2_anexos anibal" xfId="2047"/>
    <cellStyle name="Millares 20" xfId="2048"/>
    <cellStyle name="Millares 21" xfId="2049"/>
    <cellStyle name="Millares 22" xfId="2050"/>
    <cellStyle name="Millares 23" xfId="2051"/>
    <cellStyle name="Millares 24" xfId="2052"/>
    <cellStyle name="Millares 25" xfId="2053"/>
    <cellStyle name="Millares 26" xfId="2054"/>
    <cellStyle name="Millares 27" xfId="2055"/>
    <cellStyle name="Millares 28" xfId="2056"/>
    <cellStyle name="Millares 28 2" xfId="2057"/>
    <cellStyle name="Millares 28 2 2" xfId="2058"/>
    <cellStyle name="Millares 28 2 2 2" xfId="2059"/>
    <cellStyle name="Millares 28 2 3" xfId="2060"/>
    <cellStyle name="Millares 28 3" xfId="2061"/>
    <cellStyle name="Millares 28 3 2" xfId="2062"/>
    <cellStyle name="Millares 28 4" xfId="2063"/>
    <cellStyle name="Millares 29" xfId="2064"/>
    <cellStyle name="Millares 3" xfId="2065"/>
    <cellStyle name="Millares 3 10" xfId="2066"/>
    <cellStyle name="Millares 3 11" xfId="2067"/>
    <cellStyle name="Millares 3 12" xfId="2068"/>
    <cellStyle name="Millares 3 13" xfId="2069"/>
    <cellStyle name="Millares 3 14" xfId="2070"/>
    <cellStyle name="Millares 3 15" xfId="2071"/>
    <cellStyle name="Millares 3 16" xfId="2072"/>
    <cellStyle name="Millares 3 17" xfId="2073"/>
    <cellStyle name="Millares 3 17 2" xfId="2074"/>
    <cellStyle name="Millares 3 18" xfId="2075"/>
    <cellStyle name="Millares 3 19" xfId="2076"/>
    <cellStyle name="Millares 3 19 2" xfId="2077"/>
    <cellStyle name="Millares 3 2" xfId="2078"/>
    <cellStyle name="Millares 3 2 2" xfId="2079"/>
    <cellStyle name="Millares 3 2 3" xfId="2080"/>
    <cellStyle name="Millares 3 2 4" xfId="2081"/>
    <cellStyle name="Millares 3 2 5" xfId="2082"/>
    <cellStyle name="Millares 3 20" xfId="2083"/>
    <cellStyle name="Millares 3 21" xfId="2084"/>
    <cellStyle name="Millares 3 22" xfId="2085"/>
    <cellStyle name="Millares 3 3" xfId="2086"/>
    <cellStyle name="Millares 3 3 2" xfId="2087"/>
    <cellStyle name="Millares 3 3 3" xfId="2088"/>
    <cellStyle name="Millares 3 4" xfId="2089"/>
    <cellStyle name="Millares 3 5" xfId="2090"/>
    <cellStyle name="Millares 3 6" xfId="2091"/>
    <cellStyle name="Millares 3 7" xfId="2092"/>
    <cellStyle name="Millares 3 8" xfId="2093"/>
    <cellStyle name="Millares 3 9" xfId="2094"/>
    <cellStyle name="Millares 3_anexos anibal" xfId="2095"/>
    <cellStyle name="Millares 30" xfId="2096"/>
    <cellStyle name="Millares 31" xfId="2097"/>
    <cellStyle name="Millares 32" xfId="2098"/>
    <cellStyle name="Millares 33" xfId="2099"/>
    <cellStyle name="Millares 33 2" xfId="2100"/>
    <cellStyle name="Millares 33 2 2" xfId="2101"/>
    <cellStyle name="Millares 33 2 2 2" xfId="2102"/>
    <cellStyle name="Millares 33 2 2 3" xfId="2103"/>
    <cellStyle name="Millares 33 2 2 4" xfId="2104"/>
    <cellStyle name="Millares 33 2 2 4 2" xfId="2105"/>
    <cellStyle name="Millares 34" xfId="2106"/>
    <cellStyle name="Millares 35" xfId="2107"/>
    <cellStyle name="Millares 36" xfId="2108"/>
    <cellStyle name="Millares 37" xfId="2109"/>
    <cellStyle name="Millares 38" xfId="2110"/>
    <cellStyle name="Millares 39" xfId="2111"/>
    <cellStyle name="Millares 4" xfId="2112"/>
    <cellStyle name="Millares 4 10" xfId="2113"/>
    <cellStyle name="Millares 4 2" xfId="2114"/>
    <cellStyle name="Millares 4 2 2" xfId="2115"/>
    <cellStyle name="Millares 4 2 2 2" xfId="2116"/>
    <cellStyle name="Millares 4 2 2 2 2" xfId="2117"/>
    <cellStyle name="Millares 4 2 2 3" xfId="2118"/>
    <cellStyle name="Millares 4 2 3" xfId="2119"/>
    <cellStyle name="Millares 4 2 4" xfId="2120"/>
    <cellStyle name="Millares 4 2 4 2" xfId="2121"/>
    <cellStyle name="Millares 4 2 5" xfId="2122"/>
    <cellStyle name="Millares 4 3" xfId="2123"/>
    <cellStyle name="Millares 4 3 2" xfId="2124"/>
    <cellStyle name="Millares 4 4" xfId="2125"/>
    <cellStyle name="Millares 4 4 2" xfId="2126"/>
    <cellStyle name="Millares 4 5" xfId="2127"/>
    <cellStyle name="Millares 4 5 2" xfId="2128"/>
    <cellStyle name="Millares 4 5 2 2" xfId="2129"/>
    <cellStyle name="Millares 4 5 3" xfId="2130"/>
    <cellStyle name="Millares 4 6" xfId="2131"/>
    <cellStyle name="Millares 4 6 2" xfId="2132"/>
    <cellStyle name="Millares 4 6 2 2" xfId="2133"/>
    <cellStyle name="Millares 4 6 3" xfId="2134"/>
    <cellStyle name="Millares 4 7" xfId="2135"/>
    <cellStyle name="Millares 4 8" xfId="2136"/>
    <cellStyle name="Millares 4 8 2" xfId="2137"/>
    <cellStyle name="Millares 4 8 2 2" xfId="2138"/>
    <cellStyle name="Millares 4 8 3" xfId="2139"/>
    <cellStyle name="Millares 4 9" xfId="2140"/>
    <cellStyle name="Millares 4 9 2" xfId="2141"/>
    <cellStyle name="Millares 4 9 2 2" xfId="2142"/>
    <cellStyle name="Millares 4 9 3" xfId="2143"/>
    <cellStyle name="Millares 40" xfId="2144"/>
    <cellStyle name="Millares 41" xfId="2145"/>
    <cellStyle name="Millares 42" xfId="2146"/>
    <cellStyle name="Millares 43" xfId="2147"/>
    <cellStyle name="Millares 44" xfId="2148"/>
    <cellStyle name="Millares 45" xfId="2149"/>
    <cellStyle name="Millares 46" xfId="2150"/>
    <cellStyle name="Millares 47" xfId="2151"/>
    <cellStyle name="Millares 47 2" xfId="2152"/>
    <cellStyle name="Millares 47 2 2" xfId="2153"/>
    <cellStyle name="Millares 47 3" xfId="2154"/>
    <cellStyle name="Millares 48" xfId="2155"/>
    <cellStyle name="Millares 49" xfId="2156"/>
    <cellStyle name="Millares 5" xfId="2157"/>
    <cellStyle name="Millares 5 10" xfId="2158"/>
    <cellStyle name="Millares 5 10 2" xfId="2159"/>
    <cellStyle name="Millares 5 11" xfId="2160"/>
    <cellStyle name="Millares 5 2" xfId="2161"/>
    <cellStyle name="Millares 5 2 2" xfId="2162"/>
    <cellStyle name="Millares 5 2 3" xfId="2163"/>
    <cellStyle name="Millares 5 2 3 2" xfId="2164"/>
    <cellStyle name="Millares 5 2 4" xfId="2165"/>
    <cellStyle name="Millares 5 3" xfId="2166"/>
    <cellStyle name="Millares 5 4" xfId="2167"/>
    <cellStyle name="Millares 5 5" xfId="2168"/>
    <cellStyle name="Millares 5 6" xfId="2169"/>
    <cellStyle name="Millares 5 7" xfId="2170"/>
    <cellStyle name="Millares 5 7 2" xfId="2171"/>
    <cellStyle name="Millares 5 7 2 2" xfId="2172"/>
    <cellStyle name="Millares 5 7 3" xfId="2173"/>
    <cellStyle name="Millares 5 8" xfId="2174"/>
    <cellStyle name="Millares 5 8 2" xfId="2175"/>
    <cellStyle name="Millares 5 8 2 2" xfId="2176"/>
    <cellStyle name="Millares 5 8 3" xfId="2177"/>
    <cellStyle name="Millares 5 9" xfId="2178"/>
    <cellStyle name="Millares 50" xfId="2179"/>
    <cellStyle name="Millares 51" xfId="2180"/>
    <cellStyle name="Millares 52" xfId="2181"/>
    <cellStyle name="Millares 53" xfId="2182"/>
    <cellStyle name="Millares 54" xfId="2183"/>
    <cellStyle name="Millares 55" xfId="2184"/>
    <cellStyle name="Millares 56" xfId="2185"/>
    <cellStyle name="Millares 57" xfId="2186"/>
    <cellStyle name="Millares 58" xfId="2187"/>
    <cellStyle name="Millares 59" xfId="2188"/>
    <cellStyle name="Millares 6" xfId="2189"/>
    <cellStyle name="Millares 6 10" xfId="2190"/>
    <cellStyle name="Millares 6 10 2" xfId="2191"/>
    <cellStyle name="Millares 6 11" xfId="2192"/>
    <cellStyle name="Millares 6 2" xfId="2193"/>
    <cellStyle name="Millares 6 2 2" xfId="2194"/>
    <cellStyle name="Millares 6 3" xfId="2195"/>
    <cellStyle name="Millares 6 4" xfId="2196"/>
    <cellStyle name="Millares 6 5" xfId="2197"/>
    <cellStyle name="Millares 6 6" xfId="2198"/>
    <cellStyle name="Millares 6 7" xfId="2199"/>
    <cellStyle name="Millares 6 8" xfId="2200"/>
    <cellStyle name="Millares 6 9" xfId="2201"/>
    <cellStyle name="Millares 6 9 2" xfId="2202"/>
    <cellStyle name="Millares 6 9 2 2" xfId="2203"/>
    <cellStyle name="Millares 6 9 3" xfId="2204"/>
    <cellStyle name="Millares 60" xfId="2205"/>
    <cellStyle name="Millares 61" xfId="2206"/>
    <cellStyle name="Millares 62" xfId="2207"/>
    <cellStyle name="Millares 63" xfId="2208"/>
    <cellStyle name="Millares 64" xfId="2209"/>
    <cellStyle name="Millares 65" xfId="2210"/>
    <cellStyle name="Millares 66" xfId="2211"/>
    <cellStyle name="Millares 67" xfId="2212"/>
    <cellStyle name="Millares 68" xfId="2213"/>
    <cellStyle name="Millares 69" xfId="2214"/>
    <cellStyle name="Millares 7" xfId="2215"/>
    <cellStyle name="Millares 7 2" xfId="2216"/>
    <cellStyle name="Millares 7 2 2" xfId="2217"/>
    <cellStyle name="Millares 7 3" xfId="2218"/>
    <cellStyle name="Millares 7 4" xfId="2219"/>
    <cellStyle name="Millares 7 5" xfId="2220"/>
    <cellStyle name="Millares 7 6" xfId="2221"/>
    <cellStyle name="Millares 70" xfId="2222"/>
    <cellStyle name="Millares 71" xfId="2223"/>
    <cellStyle name="Millares 72" xfId="2224"/>
    <cellStyle name="Millares 73" xfId="2225"/>
    <cellStyle name="Millares 74" xfId="2226"/>
    <cellStyle name="Millares 75" xfId="2227"/>
    <cellStyle name="Millares 76" xfId="2228"/>
    <cellStyle name="Millares 76 2" xfId="2229"/>
    <cellStyle name="Millares 76 2 2" xfId="2230"/>
    <cellStyle name="Millares 76 2 2 2" xfId="2231"/>
    <cellStyle name="Millares 76 2 2 2 10" xfId="2232"/>
    <cellStyle name="Millares 76 2 2 2 10 2" xfId="2233"/>
    <cellStyle name="Millares 76 2 2 2 11" xfId="2234"/>
    <cellStyle name="Millares 76 2 2 2 11 2" xfId="2235"/>
    <cellStyle name="Millares 76 2 2 2 12" xfId="2236"/>
    <cellStyle name="Millares 76 2 2 2 2" xfId="2237"/>
    <cellStyle name="Millares 76 2 2 2 2 2" xfId="2238"/>
    <cellStyle name="Millares 76 2 2 2 3" xfId="2239"/>
    <cellStyle name="Millares 76 2 2 2 3 2" xfId="2240"/>
    <cellStyle name="Millares 76 2 2 2 4" xfId="2241"/>
    <cellStyle name="Millares 76 2 2 2 4 2" xfId="2242"/>
    <cellStyle name="Millares 76 2 2 2 5" xfId="2243"/>
    <cellStyle name="Millares 76 2 2 2 5 2" xfId="2244"/>
    <cellStyle name="Millares 76 2 2 2 6" xfId="2245"/>
    <cellStyle name="Millares 76 2 2 2 6 2" xfId="2246"/>
    <cellStyle name="Millares 76 2 2 2 7" xfId="2247"/>
    <cellStyle name="Millares 76 2 2 2 7 2" xfId="2248"/>
    <cellStyle name="Millares 76 2 2 2 8" xfId="2249"/>
    <cellStyle name="Millares 76 2 2 2 8 2" xfId="2250"/>
    <cellStyle name="Millares 76 2 2 2 9" xfId="2251"/>
    <cellStyle name="Millares 76 2 2 2 9 2" xfId="2252"/>
    <cellStyle name="Millares 76 2 2 3" xfId="2253"/>
    <cellStyle name="Millares 76 2 2 3 2" xfId="2254"/>
    <cellStyle name="Millares 76 2 2 4" xfId="2255"/>
    <cellStyle name="Millares 76 2 3" xfId="2256"/>
    <cellStyle name="Millares 76 2 3 2" xfId="2257"/>
    <cellStyle name="Millares 76 2 4" xfId="2258"/>
    <cellStyle name="Millares 76 3" xfId="2259"/>
    <cellStyle name="Millares 76 3 2" xfId="2260"/>
    <cellStyle name="Millares 76 4" xfId="2261"/>
    <cellStyle name="Millares 77" xfId="2262"/>
    <cellStyle name="Millares 78" xfId="2263"/>
    <cellStyle name="Millares 79" xfId="2264"/>
    <cellStyle name="Millares 8" xfId="2265"/>
    <cellStyle name="Millares 8 2" xfId="2266"/>
    <cellStyle name="Millares 8 2 2" xfId="2267"/>
    <cellStyle name="Millares 8 3" xfId="2268"/>
    <cellStyle name="Millares 8 4" xfId="2269"/>
    <cellStyle name="Millares 8 4 2" xfId="2270"/>
    <cellStyle name="Millares 8 5" xfId="2271"/>
    <cellStyle name="Millares 80" xfId="2272"/>
    <cellStyle name="Millares 81" xfId="2273"/>
    <cellStyle name="Millares 81 2" xfId="2274"/>
    <cellStyle name="Millares 81 2 2" xfId="2275"/>
    <cellStyle name="Millares 81 3" xfId="2276"/>
    <cellStyle name="Millares 82" xfId="2277"/>
    <cellStyle name="Millares 83" xfId="2278"/>
    <cellStyle name="Millares 84" xfId="2279"/>
    <cellStyle name="Millares 85" xfId="2280"/>
    <cellStyle name="Millares 86" xfId="2281"/>
    <cellStyle name="Millares 87" xfId="2282"/>
    <cellStyle name="Millares 88" xfId="2283"/>
    <cellStyle name="Millares 89" xfId="2284"/>
    <cellStyle name="Millares 9" xfId="2285"/>
    <cellStyle name="Millares 9 2" xfId="2286"/>
    <cellStyle name="Millares 9 3" xfId="2287"/>
    <cellStyle name="Millares 9 4" xfId="2288"/>
    <cellStyle name="Millares 9 4 2" xfId="2289"/>
    <cellStyle name="Millares 9 5" xfId="2290"/>
    <cellStyle name="Millares 90" xfId="2291"/>
    <cellStyle name="Millares 91" xfId="2292"/>
    <cellStyle name="Millares 92" xfId="2293"/>
    <cellStyle name="Millares 93" xfId="2294"/>
    <cellStyle name="Millares 93 2" xfId="2295"/>
    <cellStyle name="Millares 93 2 2" xfId="2296"/>
    <cellStyle name="Millares 93 3" xfId="2297"/>
    <cellStyle name="Millares 94" xfId="2298"/>
    <cellStyle name="Millares 95" xfId="2299"/>
    <cellStyle name="Millares 96" xfId="2300"/>
    <cellStyle name="Millares 97" xfId="2301"/>
    <cellStyle name="Millares 97 2" xfId="2302"/>
    <cellStyle name="Millares 97 2 2" xfId="2303"/>
    <cellStyle name="Millares 97 3" xfId="2304"/>
    <cellStyle name="Millares 98" xfId="2305"/>
    <cellStyle name="Millares 98 2" xfId="2306"/>
    <cellStyle name="Millares 98 2 2" xfId="2307"/>
    <cellStyle name="Millares 98 3" xfId="2308"/>
    <cellStyle name="Millares 99" xfId="2309"/>
    <cellStyle name="Millares personalizado" xfId="2310"/>
    <cellStyle name="Moeda [0]_Business Plan PCS - TIM (b)" xfId="2311"/>
    <cellStyle name="Moeda_Business Plan PCS - TIM (b)" xfId="2312"/>
    <cellStyle name="Moneda 10" xfId="2313"/>
    <cellStyle name="Moneda 11" xfId="2314"/>
    <cellStyle name="Moneda 11 2" xfId="2315"/>
    <cellStyle name="Moneda 12" xfId="2316"/>
    <cellStyle name="Moneda 12 2" xfId="2317"/>
    <cellStyle name="Moneda 13" xfId="2318"/>
    <cellStyle name="Moneda 14" xfId="2319"/>
    <cellStyle name="Moneda 15" xfId="2320"/>
    <cellStyle name="Moneda 16" xfId="2321"/>
    <cellStyle name="Moneda 16 2" xfId="2322"/>
    <cellStyle name="Moneda 17" xfId="2323"/>
    <cellStyle name="Moneda 17 2" xfId="2324"/>
    <cellStyle name="Moneda 18" xfId="2325"/>
    <cellStyle name="Moneda 2" xfId="2326"/>
    <cellStyle name="Moneda 2 10" xfId="2327"/>
    <cellStyle name="Moneda 2 11" xfId="2328"/>
    <cellStyle name="Moneda 2 12" xfId="2329"/>
    <cellStyle name="Moneda 2 13" xfId="2330"/>
    <cellStyle name="Moneda 2 14" xfId="2331"/>
    <cellStyle name="Moneda 2 15" xfId="2332"/>
    <cellStyle name="Moneda 2 16" xfId="2333"/>
    <cellStyle name="Moneda 2 17" xfId="2334"/>
    <cellStyle name="Moneda 2 18" xfId="2335"/>
    <cellStyle name="Moneda 2 19" xfId="2336"/>
    <cellStyle name="Moneda 2 2" xfId="2337"/>
    <cellStyle name="Moneda 2 2 10" xfId="2338"/>
    <cellStyle name="Moneda 2 2 11" xfId="2339"/>
    <cellStyle name="Moneda 2 2 12" xfId="2340"/>
    <cellStyle name="Moneda 2 2 13" xfId="2341"/>
    <cellStyle name="Moneda 2 2 14" xfId="2342"/>
    <cellStyle name="Moneda 2 2 15" xfId="2343"/>
    <cellStyle name="Moneda 2 2 16" xfId="2344"/>
    <cellStyle name="Moneda 2 2 17" xfId="2345"/>
    <cellStyle name="Moneda 2 2 18" xfId="2346"/>
    <cellStyle name="Moneda 2 2 19" xfId="2347"/>
    <cellStyle name="Moneda 2 2 2" xfId="2348"/>
    <cellStyle name="Moneda 2 2 20" xfId="2349"/>
    <cellStyle name="Moneda 2 2 21" xfId="2350"/>
    <cellStyle name="Moneda 2 2 3" xfId="2351"/>
    <cellStyle name="Moneda 2 2 4" xfId="2352"/>
    <cellStyle name="Moneda 2 2 5" xfId="2353"/>
    <cellStyle name="Moneda 2 2 6" xfId="2354"/>
    <cellStyle name="Moneda 2 2 7" xfId="2355"/>
    <cellStyle name="Moneda 2 2 8" xfId="2356"/>
    <cellStyle name="Moneda 2 2 9" xfId="2357"/>
    <cellStyle name="Moneda 2 20" xfId="2358"/>
    <cellStyle name="Moneda 2 21" xfId="2359"/>
    <cellStyle name="Moneda 2 3" xfId="2360"/>
    <cellStyle name="Moneda 2 4" xfId="2361"/>
    <cellStyle name="Moneda 2 5" xfId="2362"/>
    <cellStyle name="Moneda 2 6" xfId="2363"/>
    <cellStyle name="Moneda 2 7" xfId="2364"/>
    <cellStyle name="Moneda 2 8" xfId="2365"/>
    <cellStyle name="Moneda 2 9" xfId="2366"/>
    <cellStyle name="Moneda 3" xfId="2367"/>
    <cellStyle name="Moneda 3 2" xfId="2368"/>
    <cellStyle name="Moneda 3 2 2" xfId="2369"/>
    <cellStyle name="Moneda 3 2 2 2" xfId="2370"/>
    <cellStyle name="Moneda 3 2 3" xfId="2371"/>
    <cellStyle name="Moneda 3 3" xfId="2372"/>
    <cellStyle name="Moneda 4" xfId="2373"/>
    <cellStyle name="Moneda 5" xfId="2374"/>
    <cellStyle name="Moneda 6" xfId="2375"/>
    <cellStyle name="Moneda 7" xfId="2376"/>
    <cellStyle name="Moneda 8" xfId="2377"/>
    <cellStyle name="Moneda 9" xfId="2378"/>
    <cellStyle name="Monᛥda_DEMJUL97" xfId="2379"/>
    <cellStyle name="Nagłówek 1" xfId="2380"/>
    <cellStyle name="Nagłówek 2" xfId="2381"/>
    <cellStyle name="Nagłówek 3" xfId="2382"/>
    <cellStyle name="Nagłówek 4" xfId="2383"/>
    <cellStyle name="Neutral 10" xfId="2384"/>
    <cellStyle name="Neutral 11" xfId="2385"/>
    <cellStyle name="Neutral 12" xfId="2386"/>
    <cellStyle name="Neutral 13" xfId="2387"/>
    <cellStyle name="Neutral 14" xfId="2388"/>
    <cellStyle name="Neutral 15" xfId="2389"/>
    <cellStyle name="Neutral 16" xfId="2390"/>
    <cellStyle name="Neutral 17" xfId="2391"/>
    <cellStyle name="Neutral 18" xfId="2392"/>
    <cellStyle name="Neutral 19" xfId="2393"/>
    <cellStyle name="Neutral 2" xfId="2394"/>
    <cellStyle name="Neutral 2 10" xfId="2395"/>
    <cellStyle name="Neutral 2 11" xfId="2396"/>
    <cellStyle name="Neutral 2 12" xfId="2397"/>
    <cellStyle name="Neutral 2 13" xfId="2398"/>
    <cellStyle name="Neutral 2 14" xfId="2399"/>
    <cellStyle name="Neutral 2 15" xfId="2400"/>
    <cellStyle name="Neutral 2 16" xfId="2401"/>
    <cellStyle name="Neutral 2 17" xfId="2402"/>
    <cellStyle name="Neutral 2 18" xfId="2403"/>
    <cellStyle name="Neutral 2 19" xfId="2404"/>
    <cellStyle name="Neutral 2 2" xfId="2405"/>
    <cellStyle name="Neutral 2 20" xfId="2406"/>
    <cellStyle name="Neutral 2 21" xfId="2407"/>
    <cellStyle name="Neutral 2 3" xfId="2408"/>
    <cellStyle name="Neutral 2 4" xfId="2409"/>
    <cellStyle name="Neutral 2 5" xfId="2410"/>
    <cellStyle name="Neutral 2 6" xfId="2411"/>
    <cellStyle name="Neutral 2 7" xfId="2412"/>
    <cellStyle name="Neutral 2 8" xfId="2413"/>
    <cellStyle name="Neutral 2 9" xfId="2414"/>
    <cellStyle name="Neutral 20" xfId="2415"/>
    <cellStyle name="Neutral 21" xfId="2416"/>
    <cellStyle name="Neutral 3" xfId="2417"/>
    <cellStyle name="Neutral 4" xfId="2418"/>
    <cellStyle name="Neutral 5" xfId="2419"/>
    <cellStyle name="Neutral 6" xfId="2420"/>
    <cellStyle name="Neutral 7" xfId="2421"/>
    <cellStyle name="Neutral 8" xfId="2422"/>
    <cellStyle name="Neutral 9" xfId="2423"/>
    <cellStyle name="Neutralne" xfId="2424"/>
    <cellStyle name="No-definido" xfId="2425"/>
    <cellStyle name="Normal" xfId="0" builtinId="0"/>
    <cellStyle name="Normal - Style1" xfId="2426"/>
    <cellStyle name="Normal 10" xfId="2427"/>
    <cellStyle name="Normal 10 2" xfId="2428"/>
    <cellStyle name="Normal 10 2 2" xfId="2429"/>
    <cellStyle name="Normal 10 3" xfId="2430"/>
    <cellStyle name="Normal 10 3 2" xfId="2431"/>
    <cellStyle name="Normal 10 4" xfId="2432"/>
    <cellStyle name="Normal 100" xfId="2433"/>
    <cellStyle name="Normal 101" xfId="2434"/>
    <cellStyle name="Normal 102" xfId="2435"/>
    <cellStyle name="Normal 103" xfId="2436"/>
    <cellStyle name="Normal 104" xfId="2437"/>
    <cellStyle name="Normal 104 2" xfId="2438"/>
    <cellStyle name="Normal 105" xfId="2439"/>
    <cellStyle name="Normal 106" xfId="2440"/>
    <cellStyle name="Normal 107" xfId="2441"/>
    <cellStyle name="Normal 108" xfId="2442"/>
    <cellStyle name="Normal 108 2" xfId="2443"/>
    <cellStyle name="Normal 108 2 2" xfId="2444"/>
    <cellStyle name="Normal 108 3" xfId="2445"/>
    <cellStyle name="Normal 108 3 2" xfId="2446"/>
    <cellStyle name="Normal 108 3 2 2" xfId="2447"/>
    <cellStyle name="Normal 108 3 3" xfId="2448"/>
    <cellStyle name="Normal 108 4" xfId="2449"/>
    <cellStyle name="Normal 109" xfId="2450"/>
    <cellStyle name="Normal 109 2" xfId="2451"/>
    <cellStyle name="Normal 11" xfId="2452"/>
    <cellStyle name="Normal 11 2" xfId="2453"/>
    <cellStyle name="Normal 11 3" xfId="2454"/>
    <cellStyle name="Normal 11 3 2" xfId="2455"/>
    <cellStyle name="Normal 11 3 2 2" xfId="2456"/>
    <cellStyle name="Normal 11 3 3" xfId="2457"/>
    <cellStyle name="Normal 11 3 3 2" xfId="2458"/>
    <cellStyle name="Normal 11 3 4" xfId="2459"/>
    <cellStyle name="Normal 110" xfId="2460"/>
    <cellStyle name="Normal 110 2" xfId="2461"/>
    <cellStyle name="Normal 111" xfId="2462"/>
    <cellStyle name="Normal 111 2" xfId="2463"/>
    <cellStyle name="Normal 111 2 2" xfId="2464"/>
    <cellStyle name="Normal 111 3" xfId="2465"/>
    <cellStyle name="Normal 112" xfId="2466"/>
    <cellStyle name="Normal 112 2" xfId="2467"/>
    <cellStyle name="Normal 113" xfId="2468"/>
    <cellStyle name="Normal 113 2" xfId="2469"/>
    <cellStyle name="Normal 114" xfId="2470"/>
    <cellStyle name="Normal 115" xfId="2471"/>
    <cellStyle name="Normal 115 2" xfId="2472"/>
    <cellStyle name="Normal 116" xfId="2"/>
    <cellStyle name="Normal 12" xfId="2473"/>
    <cellStyle name="Normal 13" xfId="2474"/>
    <cellStyle name="Normal 13 10" xfId="2475"/>
    <cellStyle name="Normal 13 10 2" xfId="2476"/>
    <cellStyle name="Normal 13 10 2 2" xfId="2477"/>
    <cellStyle name="Normal 13 10 3" xfId="2478"/>
    <cellStyle name="Normal 13 10 3 2" xfId="2479"/>
    <cellStyle name="Normal 13 10 4" xfId="2480"/>
    <cellStyle name="Normal 13 11" xfId="2481"/>
    <cellStyle name="Normal 13 11 2" xfId="2482"/>
    <cellStyle name="Normal 13 12" xfId="2483"/>
    <cellStyle name="Normal 13 12 2" xfId="2484"/>
    <cellStyle name="Normal 13 13" xfId="2485"/>
    <cellStyle name="Normal 13 13 2" xfId="2486"/>
    <cellStyle name="Normal 13 14" xfId="2487"/>
    <cellStyle name="Normal 13 14 2" xfId="2488"/>
    <cellStyle name="Normal 13 15" xfId="2489"/>
    <cellStyle name="Normal 13 15 2" xfId="2490"/>
    <cellStyle name="Normal 13 16" xfId="2491"/>
    <cellStyle name="Normal 13 16 2" xfId="2492"/>
    <cellStyle name="Normal 13 17" xfId="2493"/>
    <cellStyle name="Normal 13 17 2" xfId="2494"/>
    <cellStyle name="Normal 13 18" xfId="2495"/>
    <cellStyle name="Normal 13 18 2" xfId="2496"/>
    <cellStyle name="Normal 13 19" xfId="2497"/>
    <cellStyle name="Normal 13 19 2" xfId="2498"/>
    <cellStyle name="Normal 13 2" xfId="2499"/>
    <cellStyle name="Normal 13 2 2" xfId="2500"/>
    <cellStyle name="Normal 13 2 2 2" xfId="2501"/>
    <cellStyle name="Normal 13 2 3" xfId="2502"/>
    <cellStyle name="Normal 13 20" xfId="2503"/>
    <cellStyle name="Normal 13 20 2" xfId="2504"/>
    <cellStyle name="Normal 13 21" xfId="2505"/>
    <cellStyle name="Normal 13 21 2" xfId="2506"/>
    <cellStyle name="Normal 13 22" xfId="2507"/>
    <cellStyle name="Normal 13 22 2" xfId="2508"/>
    <cellStyle name="Normal 13 23" xfId="2509"/>
    <cellStyle name="Normal 13 3" xfId="2510"/>
    <cellStyle name="Normal 13 3 2" xfId="2511"/>
    <cellStyle name="Normal 13 3 2 2" xfId="2512"/>
    <cellStyle name="Normal 13 3 3" xfId="2513"/>
    <cellStyle name="Normal 13 3 3 2" xfId="2514"/>
    <cellStyle name="Normal 13 3 4" xfId="2515"/>
    <cellStyle name="Normal 13 4" xfId="2516"/>
    <cellStyle name="Normal 13 4 2" xfId="2517"/>
    <cellStyle name="Normal 13 5" xfId="2518"/>
    <cellStyle name="Normal 13 5 2" xfId="2519"/>
    <cellStyle name="Normal 13 6" xfId="2520"/>
    <cellStyle name="Normal 13 6 2" xfId="2521"/>
    <cellStyle name="Normal 13 7" xfId="2522"/>
    <cellStyle name="Normal 13 7 2" xfId="2523"/>
    <cellStyle name="Normal 13 8" xfId="2524"/>
    <cellStyle name="Normal 13 8 2" xfId="2525"/>
    <cellStyle name="Normal 13 9" xfId="2526"/>
    <cellStyle name="Normal 13 9 2" xfId="2527"/>
    <cellStyle name="Normal 14" xfId="2528"/>
    <cellStyle name="Normal 14 2" xfId="2529"/>
    <cellStyle name="Normal 14 2 2" xfId="2530"/>
    <cellStyle name="Normal 14 3" xfId="2531"/>
    <cellStyle name="Normal 15" xfId="2532"/>
    <cellStyle name="Normal 15 2" xfId="2533"/>
    <cellStyle name="Normal 15 2 2" xfId="2534"/>
    <cellStyle name="Normal 15 3" xfId="2535"/>
    <cellStyle name="Normal 16" xfId="2536"/>
    <cellStyle name="Normal 16 2" xfId="2537"/>
    <cellStyle name="Normal 16 2 2" xfId="2538"/>
    <cellStyle name="Normal 16 3" xfId="2539"/>
    <cellStyle name="Normal 17" xfId="2540"/>
    <cellStyle name="Normal 17 2" xfId="2541"/>
    <cellStyle name="Normal 17 2 2" xfId="2542"/>
    <cellStyle name="Normal 17 2 2 2" xfId="2543"/>
    <cellStyle name="Normal 17 2 3" xfId="2544"/>
    <cellStyle name="Normal 17 3" xfId="2545"/>
    <cellStyle name="Normal 17 3 2" xfId="2546"/>
    <cellStyle name="Normal 17 4" xfId="2547"/>
    <cellStyle name="Normal 18" xfId="2548"/>
    <cellStyle name="Normal 18 2" xfId="2549"/>
    <cellStyle name="Normal 19" xfId="2550"/>
    <cellStyle name="Normal 19 2" xfId="2551"/>
    <cellStyle name="Normal 19 2 2" xfId="2552"/>
    <cellStyle name="Normal 19 2 2 2" xfId="2553"/>
    <cellStyle name="Normal 19 2 2 2 2" xfId="2554"/>
    <cellStyle name="Normal 19 2 2 2 2 2" xfId="2555"/>
    <cellStyle name="Normal 19 2 2 2 3" xfId="2556"/>
    <cellStyle name="Normal 19 2 2 3" xfId="2557"/>
    <cellStyle name="Normal 19 2 2 3 2" xfId="2558"/>
    <cellStyle name="Normal 19 2 2 3 2 2" xfId="2559"/>
    <cellStyle name="Normal 19 2 2 3 3" xfId="2560"/>
    <cellStyle name="Normal 19 2 2 4" xfId="2561"/>
    <cellStyle name="Normal 19 2 2 4 2" xfId="2562"/>
    <cellStyle name="Normal 19 2 2 5" xfId="2563"/>
    <cellStyle name="Normal 19 2 3" xfId="2564"/>
    <cellStyle name="Normal 19 2 3 2" xfId="2565"/>
    <cellStyle name="Normal 19 2 3 2 2" xfId="2566"/>
    <cellStyle name="Normal 19 2 3 3" xfId="2567"/>
    <cellStyle name="Normal 19 2 4" xfId="2568"/>
    <cellStyle name="Normal 19 2 4 2" xfId="2569"/>
    <cellStyle name="Normal 19 2 5" xfId="2570"/>
    <cellStyle name="Normal 19 3" xfId="2571"/>
    <cellStyle name="Normal 19 3 2" xfId="2572"/>
    <cellStyle name="Normal 19 3 2 2" xfId="2573"/>
    <cellStyle name="Normal 19 3 3" xfId="2574"/>
    <cellStyle name="Normal 19 4" xfId="2575"/>
    <cellStyle name="Normal 19 4 2" xfId="2576"/>
    <cellStyle name="Normal 19 5" xfId="2577"/>
    <cellStyle name="Normal 2" xfId="2578"/>
    <cellStyle name="Normal 2 10" xfId="2579"/>
    <cellStyle name="Normal 2 10 2" xfId="2580"/>
    <cellStyle name="Normal 2 11" xfId="2581"/>
    <cellStyle name="Normal 2 11 2" xfId="2582"/>
    <cellStyle name="Normal 2 12" xfId="2583"/>
    <cellStyle name="Normal 2 12 2" xfId="2584"/>
    <cellStyle name="Normal 2 13" xfId="2585"/>
    <cellStyle name="Normal 2 13 2" xfId="2586"/>
    <cellStyle name="Normal 2 14" xfId="2587"/>
    <cellStyle name="Normal 2 14 2" xfId="2588"/>
    <cellStyle name="Normal 2 15" xfId="2589"/>
    <cellStyle name="Normal 2 15 2" xfId="2590"/>
    <cellStyle name="Normal 2 16" xfId="2591"/>
    <cellStyle name="Normal 2 16 2" xfId="2592"/>
    <cellStyle name="Normal 2 17" xfId="2593"/>
    <cellStyle name="Normal 2 17 2" xfId="2594"/>
    <cellStyle name="Normal 2 18" xfId="2595"/>
    <cellStyle name="Normal 2 18 2" xfId="2596"/>
    <cellStyle name="Normal 2 19" xfId="2597"/>
    <cellStyle name="Normal 2 19 2" xfId="2598"/>
    <cellStyle name="Normal 2 2" xfId="2599"/>
    <cellStyle name="Normal 2 2 10" xfId="2600"/>
    <cellStyle name="Normal 2 2 10 2" xfId="2601"/>
    <cellStyle name="Normal 2 2 10 2 2" xfId="2602"/>
    <cellStyle name="Normal 2 2 10 2 2 2" xfId="2603"/>
    <cellStyle name="Normal 2 2 10 2 3" xfId="2604"/>
    <cellStyle name="Normal 2 2 10 3" xfId="2605"/>
    <cellStyle name="Normal 2 2 11" xfId="2606"/>
    <cellStyle name="Normal 2 2 11 2" xfId="2607"/>
    <cellStyle name="Normal 2 2 12" xfId="2608"/>
    <cellStyle name="Normal 2 2 13" xfId="2609"/>
    <cellStyle name="Normal 2 2 14" xfId="2610"/>
    <cellStyle name="Normal 2 2 15" xfId="2611"/>
    <cellStyle name="Normal 2 2 16" xfId="2612"/>
    <cellStyle name="Normal 2 2 17" xfId="2613"/>
    <cellStyle name="Normal 2 2 18" xfId="2614"/>
    <cellStyle name="Normal 2 2 19" xfId="2615"/>
    <cellStyle name="Normal 2 2 2" xfId="2616"/>
    <cellStyle name="Normal 2 2 2 10" xfId="2617"/>
    <cellStyle name="Normal 2 2 2 10 2" xfId="2618"/>
    <cellStyle name="Normal 2 2 2 11" xfId="2619"/>
    <cellStyle name="Normal 2 2 2 11 2" xfId="2620"/>
    <cellStyle name="Normal 2 2 2 12" xfId="2621"/>
    <cellStyle name="Normal 2 2 2 12 2" xfId="2622"/>
    <cellStyle name="Normal 2 2 2 13" xfId="2623"/>
    <cellStyle name="Normal 2 2 2 13 2" xfId="2624"/>
    <cellStyle name="Normal 2 2 2 14" xfId="2625"/>
    <cellStyle name="Normal 2 2 2 14 2" xfId="2626"/>
    <cellStyle name="Normal 2 2 2 15" xfId="2627"/>
    <cellStyle name="Normal 2 2 2 15 2" xfId="2628"/>
    <cellStyle name="Normal 2 2 2 16" xfId="2629"/>
    <cellStyle name="Normal 2 2 2 16 2" xfId="2630"/>
    <cellStyle name="Normal 2 2 2 17" xfId="2631"/>
    <cellStyle name="Normal 2 2 2 17 2" xfId="2632"/>
    <cellStyle name="Normal 2 2 2 18" xfId="2633"/>
    <cellStyle name="Normal 2 2 2 18 2" xfId="2634"/>
    <cellStyle name="Normal 2 2 2 19" xfId="2635"/>
    <cellStyle name="Normal 2 2 2 19 2" xfId="2636"/>
    <cellStyle name="Normal 2 2 2 2" xfId="2637"/>
    <cellStyle name="Normal 2 2 2 2 10" xfId="2638"/>
    <cellStyle name="Normal 2 2 2 2 10 2" xfId="2639"/>
    <cellStyle name="Normal 2 2 2 2 11" xfId="2640"/>
    <cellStyle name="Normal 2 2 2 2 11 2" xfId="2641"/>
    <cellStyle name="Normal 2 2 2 2 12" xfId="2642"/>
    <cellStyle name="Normal 2 2 2 2 12 2" xfId="2643"/>
    <cellStyle name="Normal 2 2 2 2 13" xfId="2644"/>
    <cellStyle name="Normal 2 2 2 2 13 2" xfId="2645"/>
    <cellStyle name="Normal 2 2 2 2 14" xfId="2646"/>
    <cellStyle name="Normal 2 2 2 2 14 2" xfId="2647"/>
    <cellStyle name="Normal 2 2 2 2 15" xfId="2648"/>
    <cellStyle name="Normal 2 2 2 2 15 2" xfId="2649"/>
    <cellStyle name="Normal 2 2 2 2 16" xfId="2650"/>
    <cellStyle name="Normal 2 2 2 2 16 2" xfId="2651"/>
    <cellStyle name="Normal 2 2 2 2 17" xfId="2652"/>
    <cellStyle name="Normal 2 2 2 2 17 2" xfId="2653"/>
    <cellStyle name="Normal 2 2 2 2 18" xfId="2654"/>
    <cellStyle name="Normal 2 2 2 2 18 2" xfId="2655"/>
    <cellStyle name="Normal 2 2 2 2 19" xfId="2656"/>
    <cellStyle name="Normal 2 2 2 2 19 2" xfId="2657"/>
    <cellStyle name="Normal 2 2 2 2 2" xfId="2658"/>
    <cellStyle name="Normal 2 2 2 2 2 2" xfId="2659"/>
    <cellStyle name="Normal 2 2 2 2 2 2 2" xfId="2660"/>
    <cellStyle name="Normal 2 2 2 2 2 3" xfId="2661"/>
    <cellStyle name="Normal 2 2 2 2 20" xfId="2662"/>
    <cellStyle name="Normal 2 2 2 2 20 2" xfId="2663"/>
    <cellStyle name="Normal 2 2 2 2 21" xfId="2664"/>
    <cellStyle name="Normal 2 2 2 2 21 2" xfId="2665"/>
    <cellStyle name="Normal 2 2 2 2 22" xfId="2666"/>
    <cellStyle name="Normal 2 2 2 2 22 2" xfId="2667"/>
    <cellStyle name="Normal 2 2 2 2 23" xfId="2668"/>
    <cellStyle name="Normal 2 2 2 2 23 2" xfId="2669"/>
    <cellStyle name="Normal 2 2 2 2 24" xfId="2670"/>
    <cellStyle name="Normal 2 2 2 2 24 2" xfId="2671"/>
    <cellStyle name="Normal 2 2 2 2 25" xfId="2672"/>
    <cellStyle name="Normal 2 2 2 2 25 2" xfId="2673"/>
    <cellStyle name="Normal 2 2 2 2 26" xfId="2674"/>
    <cellStyle name="Normal 2 2 2 2 26 2" xfId="2675"/>
    <cellStyle name="Normal 2 2 2 2 27" xfId="2676"/>
    <cellStyle name="Normal 2 2 2 2 3" xfId="2677"/>
    <cellStyle name="Normal 2 2 2 2 3 2" xfId="2678"/>
    <cellStyle name="Normal 2 2 2 2 3 2 2" xfId="2679"/>
    <cellStyle name="Normal 2 2 2 2 3 2 2 2" xfId="2680"/>
    <cellStyle name="Normal 2 2 2 2 3 2 2 2 2" xfId="2681"/>
    <cellStyle name="Normal 2 2 2 2 3 2 2 3" xfId="2682"/>
    <cellStyle name="Normal 2 2 2 2 3 2 3" xfId="2683"/>
    <cellStyle name="Normal 2 2 2 2 3 2 3 2" xfId="2684"/>
    <cellStyle name="Normal 2 2 2 2 3 2 3 2 2" xfId="2685"/>
    <cellStyle name="Normal 2 2 2 2 3 2 3 2 2 2" xfId="2686"/>
    <cellStyle name="Normal 2 2 2 2 3 2 3 2 3" xfId="2687"/>
    <cellStyle name="Normal 2 2 2 2 3 2 3 3" xfId="2688"/>
    <cellStyle name="Normal 2 2 2 2 3 2 3 3 2" xfId="2689"/>
    <cellStyle name="Normal 2 2 2 2 3 2 3 4" xfId="2690"/>
    <cellStyle name="Normal 2 2 2 2 3 2 4" xfId="2691"/>
    <cellStyle name="Normal 2 2 2 2 3 2 4 2" xfId="2692"/>
    <cellStyle name="Normal 2 2 2 2 3 2 5" xfId="2693"/>
    <cellStyle name="Normal 2 2 2 2 3 3" xfId="2694"/>
    <cellStyle name="Normal 2 2 2 2 3 3 2" xfId="2695"/>
    <cellStyle name="Normal 2 2 2 2 3 4" xfId="2696"/>
    <cellStyle name="Normal 2 2 2 2 4" xfId="2697"/>
    <cellStyle name="Normal 2 2 2 2 4 2" xfId="2698"/>
    <cellStyle name="Normal 2 2 2 2 5" xfId="2699"/>
    <cellStyle name="Normal 2 2 2 2 5 2" xfId="2700"/>
    <cellStyle name="Normal 2 2 2 2 6" xfId="2701"/>
    <cellStyle name="Normal 2 2 2 2 6 2" xfId="2702"/>
    <cellStyle name="Normal 2 2 2 2 7" xfId="2703"/>
    <cellStyle name="Normal 2 2 2 2 7 2" xfId="2704"/>
    <cellStyle name="Normal 2 2 2 2 8" xfId="2705"/>
    <cellStyle name="Normal 2 2 2 2 8 2" xfId="2706"/>
    <cellStyle name="Normal 2 2 2 2 9" xfId="2707"/>
    <cellStyle name="Normal 2 2 2 2 9 2" xfId="2708"/>
    <cellStyle name="Normal 2 2 2 20" xfId="2709"/>
    <cellStyle name="Normal 2 2 2 21" xfId="2710"/>
    <cellStyle name="Normal 2 2 2 22" xfId="2711"/>
    <cellStyle name="Normal 2 2 2 23" xfId="2712"/>
    <cellStyle name="Normal 2 2 2 24" xfId="2713"/>
    <cellStyle name="Normal 2 2 2 25" xfId="2714"/>
    <cellStyle name="Normal 2 2 2 26" xfId="2715"/>
    <cellStyle name="Normal 2 2 2 27" xfId="2716"/>
    <cellStyle name="Normal 2 2 2 28" xfId="2717"/>
    <cellStyle name="Normal 2 2 2 29" xfId="2718"/>
    <cellStyle name="Normal 2 2 2 3" xfId="2719"/>
    <cellStyle name="Normal 2 2 2 30" xfId="2720"/>
    <cellStyle name="Normal 2 2 2 31" xfId="2721"/>
    <cellStyle name="Normal 2 2 2 32" xfId="2722"/>
    <cellStyle name="Normal 2 2 2 33" xfId="2723"/>
    <cellStyle name="Normal 2 2 2 34" xfId="2724"/>
    <cellStyle name="Normal 2 2 2 35" xfId="2725"/>
    <cellStyle name="Normal 2 2 2 36" xfId="2726"/>
    <cellStyle name="Normal 2 2 2 37" xfId="2727"/>
    <cellStyle name="Normal 2 2 2 38" xfId="2728"/>
    <cellStyle name="Normal 2 2 2 39" xfId="2729"/>
    <cellStyle name="Normal 2 2 2 4" xfId="2730"/>
    <cellStyle name="Normal 2 2 2 4 2" xfId="2731"/>
    <cellStyle name="Normal 2 2 2 40" xfId="2732"/>
    <cellStyle name="Normal 2 2 2 41" xfId="2733"/>
    <cellStyle name="Normal 2 2 2 42" xfId="2734"/>
    <cellStyle name="Normal 2 2 2 43" xfId="2735"/>
    <cellStyle name="Normal 2 2 2 44" xfId="2736"/>
    <cellStyle name="Normal 2 2 2 5" xfId="2737"/>
    <cellStyle name="Normal 2 2 2 5 2" xfId="2738"/>
    <cellStyle name="Normal 2 2 2 6" xfId="2739"/>
    <cellStyle name="Normal 2 2 2 6 2" xfId="2740"/>
    <cellStyle name="Normal 2 2 2 7" xfId="2741"/>
    <cellStyle name="Normal 2 2 2 7 2" xfId="2742"/>
    <cellStyle name="Normal 2 2 2 8" xfId="2743"/>
    <cellStyle name="Normal 2 2 2 8 2" xfId="2744"/>
    <cellStyle name="Normal 2 2 2 9" xfId="2745"/>
    <cellStyle name="Normal 2 2 2 9 2" xfId="2746"/>
    <cellStyle name="Normal 2 2 20" xfId="2747"/>
    <cellStyle name="Normal 2 2 20 2" xfId="2748"/>
    <cellStyle name="Normal 2 2 21" xfId="2749"/>
    <cellStyle name="Normal 2 2 21 2" xfId="2750"/>
    <cellStyle name="Normal 2 2 22" xfId="2751"/>
    <cellStyle name="Normal 2 2 22 2" xfId="2752"/>
    <cellStyle name="Normal 2 2 23" xfId="2753"/>
    <cellStyle name="Normal 2 2 23 2" xfId="2754"/>
    <cellStyle name="Normal 2 2 24" xfId="2755"/>
    <cellStyle name="Normal 2 2 24 2" xfId="2756"/>
    <cellStyle name="Normal 2 2 25" xfId="2757"/>
    <cellStyle name="Normal 2 2 25 2" xfId="2758"/>
    <cellStyle name="Normal 2 2 26" xfId="2759"/>
    <cellStyle name="Normal 2 2 26 2" xfId="2760"/>
    <cellStyle name="Normal 2 2 27" xfId="2761"/>
    <cellStyle name="Normal 2 2 27 2" xfId="2762"/>
    <cellStyle name="Normal 2 2 28" xfId="2763"/>
    <cellStyle name="Normal 2 2 28 2" xfId="2764"/>
    <cellStyle name="Normal 2 2 29" xfId="2765"/>
    <cellStyle name="Normal 2 2 29 2" xfId="2766"/>
    <cellStyle name="Normal 2 2 3" xfId="2767"/>
    <cellStyle name="Normal 2 2 30" xfId="2768"/>
    <cellStyle name="Normal 2 2 30 2" xfId="2769"/>
    <cellStyle name="Normal 2 2 31" xfId="2770"/>
    <cellStyle name="Normal 2 2 31 2" xfId="2771"/>
    <cellStyle name="Normal 2 2 32" xfId="2772"/>
    <cellStyle name="Normal 2 2 32 2" xfId="2773"/>
    <cellStyle name="Normal 2 2 33" xfId="2774"/>
    <cellStyle name="Normal 2 2 33 2" xfId="2775"/>
    <cellStyle name="Normal 2 2 34" xfId="2776"/>
    <cellStyle name="Normal 2 2 34 2" xfId="2777"/>
    <cellStyle name="Normal 2 2 35" xfId="2778"/>
    <cellStyle name="Normal 2 2 35 2" xfId="2779"/>
    <cellStyle name="Normal 2 2 36" xfId="2780"/>
    <cellStyle name="Normal 2 2 36 2" xfId="2781"/>
    <cellStyle name="Normal 2 2 37" xfId="2782"/>
    <cellStyle name="Normal 2 2 37 2" xfId="2783"/>
    <cellStyle name="Normal 2 2 38" xfId="2784"/>
    <cellStyle name="Normal 2 2 38 2" xfId="2785"/>
    <cellStyle name="Normal 2 2 39" xfId="2786"/>
    <cellStyle name="Normal 2 2 39 2" xfId="2787"/>
    <cellStyle name="Normal 2 2 4" xfId="2788"/>
    <cellStyle name="Normal 2 2 4 2" xfId="2789"/>
    <cellStyle name="Normal 2 2 4 2 2" xfId="2790"/>
    <cellStyle name="Normal 2 2 4 3" xfId="2791"/>
    <cellStyle name="Normal 2 2 40" xfId="2792"/>
    <cellStyle name="Normal 2 2 40 2" xfId="2793"/>
    <cellStyle name="Normal 2 2 41" xfId="2794"/>
    <cellStyle name="Normal 2 2 41 2" xfId="2795"/>
    <cellStyle name="Normal 2 2 42" xfId="2796"/>
    <cellStyle name="Normal 2 2 42 2" xfId="2797"/>
    <cellStyle name="Normal 2 2 43" xfId="2798"/>
    <cellStyle name="Normal 2 2 43 2" xfId="2799"/>
    <cellStyle name="Normal 2 2 44" xfId="2800"/>
    <cellStyle name="Normal 2 2 44 2" xfId="2801"/>
    <cellStyle name="Normal 2 2 5" xfId="2802"/>
    <cellStyle name="Normal 2 2 5 2" xfId="2803"/>
    <cellStyle name="Normal 2 2 5 2 2" xfId="2804"/>
    <cellStyle name="Normal 2 2 5 3" xfId="2805"/>
    <cellStyle name="Normal 2 2 6" xfId="2806"/>
    <cellStyle name="Normal 2 2 6 2" xfId="2807"/>
    <cellStyle name="Normal 2 2 6 2 2" xfId="2808"/>
    <cellStyle name="Normal 2 2 6 3" xfId="2809"/>
    <cellStyle name="Normal 2 2 7" xfId="2810"/>
    <cellStyle name="Normal 2 2 7 2" xfId="2811"/>
    <cellStyle name="Normal 2 2 7 2 2" xfId="2812"/>
    <cellStyle name="Normal 2 2 7 3" xfId="2813"/>
    <cellStyle name="Normal 2 2 8" xfId="2814"/>
    <cellStyle name="Normal 2 2 8 2" xfId="2815"/>
    <cellStyle name="Normal 2 2 8 2 2" xfId="2816"/>
    <cellStyle name="Normal 2 2 8 3" xfId="2817"/>
    <cellStyle name="Normal 2 2 9" xfId="2818"/>
    <cellStyle name="Normal 2 2 9 2" xfId="2819"/>
    <cellStyle name="Normal 2 2 9 2 2" xfId="2820"/>
    <cellStyle name="Normal 2 2 9 3" xfId="2821"/>
    <cellStyle name="Normal 2 20" xfId="2822"/>
    <cellStyle name="Normal 2 20 2" xfId="2823"/>
    <cellStyle name="Normal 2 21" xfId="2824"/>
    <cellStyle name="Normal 2 21 2" xfId="2825"/>
    <cellStyle name="Normal 2 22" xfId="2826"/>
    <cellStyle name="Normal 2 22 2" xfId="2827"/>
    <cellStyle name="Normal 2 23" xfId="2828"/>
    <cellStyle name="Normal 2 23 2" xfId="2829"/>
    <cellStyle name="Normal 2 24" xfId="2830"/>
    <cellStyle name="Normal 2 24 2" xfId="2831"/>
    <cellStyle name="Normal 2 25" xfId="2832"/>
    <cellStyle name="Normal 2 25 2" xfId="2833"/>
    <cellStyle name="Normal 2 26" xfId="2834"/>
    <cellStyle name="Normal 2 27" xfId="2835"/>
    <cellStyle name="Normal 2 28" xfId="2836"/>
    <cellStyle name="Normal 2 29" xfId="2837"/>
    <cellStyle name="Normal 2 3" xfId="2838"/>
    <cellStyle name="Normal 2 3 2" xfId="2839"/>
    <cellStyle name="Normal 2 3 2 2" xfId="2840"/>
    <cellStyle name="Normal 2 3 2 2 2" xfId="2841"/>
    <cellStyle name="Normal 2 3 2 3" xfId="2842"/>
    <cellStyle name="Normal 2 3 2 3 2" xfId="2843"/>
    <cellStyle name="Normal 2 3 2 4" xfId="2844"/>
    <cellStyle name="Normal 2 30" xfId="2845"/>
    <cellStyle name="Normal 2 31" xfId="2846"/>
    <cellStyle name="Normal 2 32" xfId="2847"/>
    <cellStyle name="Normal 2 33" xfId="2848"/>
    <cellStyle name="Normal 2 34" xfId="2849"/>
    <cellStyle name="Normal 2 35" xfId="2850"/>
    <cellStyle name="Normal 2 36" xfId="2851"/>
    <cellStyle name="Normal 2 37" xfId="2852"/>
    <cellStyle name="Normal 2 38" xfId="2853"/>
    <cellStyle name="Normal 2 39" xfId="2854"/>
    <cellStyle name="Normal 2 4" xfId="2855"/>
    <cellStyle name="Normal 2 4 2" xfId="2856"/>
    <cellStyle name="Normal 2 4 2 2" xfId="2857"/>
    <cellStyle name="Normal 2 4 2 2 2" xfId="2858"/>
    <cellStyle name="Normal 2 4 2 3" xfId="2859"/>
    <cellStyle name="Normal 2 4 3" xfId="2860"/>
    <cellStyle name="Normal 2 4 3 2" xfId="2861"/>
    <cellStyle name="Normal 2 4 4" xfId="2862"/>
    <cellStyle name="Normal 2 4 4 2" xfId="2863"/>
    <cellStyle name="Normal 2 4 4 2 2" xfId="2864"/>
    <cellStyle name="Normal 2 4 4 3" xfId="2865"/>
    <cellStyle name="Normal 2 4 4 3 2" xfId="2866"/>
    <cellStyle name="Normal 2 4 4 4" xfId="2867"/>
    <cellStyle name="Normal 2 4 4 4 2" xfId="2868"/>
    <cellStyle name="Normal 2 4 4 4 2 2" xfId="2869"/>
    <cellStyle name="Normal 2 4 4 4 2 2 2" xfId="2870"/>
    <cellStyle name="Normal 2 4 4 4 2 3" xfId="2871"/>
    <cellStyle name="Normal 2 4 4 4 2 3 2" xfId="2872"/>
    <cellStyle name="Normal 2 4 4 4 2 3 2 2" xfId="2873"/>
    <cellStyle name="Normal 2 4 4 4 2 3 3" xfId="2874"/>
    <cellStyle name="Normal 2 4 4 4 2 4" xfId="2875"/>
    <cellStyle name="Normal 2 4 4 4 2 4 2" xfId="2876"/>
    <cellStyle name="Normal 2 4 4 4 2 4 2 2" xfId="2877"/>
    <cellStyle name="Normal 2 4 4 4 2 4 2 2 2" xfId="2878"/>
    <cellStyle name="Normal 2 4 4 4 2 4 2 2 2 2" xfId="2879"/>
    <cellStyle name="Normal 2 4 4 4 2 4 2 2 3" xfId="2880"/>
    <cellStyle name="Normal 2 4 4 4 2 4 2 3" xfId="2881"/>
    <cellStyle name="Normal 2 4 4 4 2 4 3" xfId="2882"/>
    <cellStyle name="Normal 2 4 4 4 2 4 3 2" xfId="2883"/>
    <cellStyle name="Normal 2 4 4 4 2 4 4" xfId="2884"/>
    <cellStyle name="Normal 2 4 4 4 2 5" xfId="2885"/>
    <cellStyle name="Normal 2 4 4 4 2 5 2" xfId="2886"/>
    <cellStyle name="Normal 2 4 4 4 2 6" xfId="2887"/>
    <cellStyle name="Normal 2 4 4 4 3" xfId="2888"/>
    <cellStyle name="Normal 2 4 4 4 3 2" xfId="2889"/>
    <cellStyle name="Normal 2 4 4 4 4" xfId="2890"/>
    <cellStyle name="Normal 2 4 4 4 4 2" xfId="2891"/>
    <cellStyle name="Normal 2 4 4 4 5" xfId="2892"/>
    <cellStyle name="Normal 2 4 4 5" xfId="2893"/>
    <cellStyle name="Normal 2 4 5" xfId="2894"/>
    <cellStyle name="Normal 2 4 6" xfId="2895"/>
    <cellStyle name="Normal 2 40" xfId="2896"/>
    <cellStyle name="Normal 2 41" xfId="2897"/>
    <cellStyle name="Normal 2 42" xfId="2898"/>
    <cellStyle name="Normal 2 43" xfId="2899"/>
    <cellStyle name="Normal 2 44" xfId="2900"/>
    <cellStyle name="Normal 2 45" xfId="2901"/>
    <cellStyle name="Normal 2 46" xfId="2902"/>
    <cellStyle name="Normal 2 47" xfId="2903"/>
    <cellStyle name="Normal 2 48" xfId="2904"/>
    <cellStyle name="Normal 2 49" xfId="2905"/>
    <cellStyle name="Normal 2 5" xfId="2906"/>
    <cellStyle name="Normal 2 5 2" xfId="2907"/>
    <cellStyle name="Normal 2 50" xfId="2908"/>
    <cellStyle name="Normal 2 50 2" xfId="2909"/>
    <cellStyle name="Normal 2 51" xfId="2910"/>
    <cellStyle name="Normal 2 52" xfId="2911"/>
    <cellStyle name="Normal 2 53" xfId="2912"/>
    <cellStyle name="Normal 2 54" xfId="2913"/>
    <cellStyle name="Normal 2 54 2" xfId="2914"/>
    <cellStyle name="Normal 2 55" xfId="2915"/>
    <cellStyle name="Normal 2 56" xfId="2916"/>
    <cellStyle name="Normal 2 57" xfId="2917"/>
    <cellStyle name="Normal 2 58" xfId="2918"/>
    <cellStyle name="Normal 2 59" xfId="2919"/>
    <cellStyle name="Normal 2 6" xfId="2920"/>
    <cellStyle name="Normal 2 6 2" xfId="2921"/>
    <cellStyle name="Normal 2 6 2 2" xfId="2922"/>
    <cellStyle name="Normal 2 6 3" xfId="2923"/>
    <cellStyle name="Normal 2 6 4" xfId="2924"/>
    <cellStyle name="Normal 2 60" xfId="2925"/>
    <cellStyle name="Normal 2 61" xfId="2926"/>
    <cellStyle name="Normal 2 62" xfId="2927"/>
    <cellStyle name="Normal 2 63" xfId="2928"/>
    <cellStyle name="Normal 2 64" xfId="2929"/>
    <cellStyle name="Normal 2 65" xfId="2930"/>
    <cellStyle name="Normal 2 66" xfId="2931"/>
    <cellStyle name="Normal 2 67" xfId="2932"/>
    <cellStyle name="Normal 2 68" xfId="2933"/>
    <cellStyle name="Normal 2 69" xfId="2934"/>
    <cellStyle name="Normal 2 7" xfId="2935"/>
    <cellStyle name="Normal 2 7 2" xfId="2936"/>
    <cellStyle name="Normal 2 7 3" xfId="2937"/>
    <cellStyle name="Normal 2 70" xfId="2938"/>
    <cellStyle name="Normal 2 8" xfId="2939"/>
    <cellStyle name="Normal 2 8 2" xfId="2940"/>
    <cellStyle name="Normal 2 9" xfId="2941"/>
    <cellStyle name="Normal 2_anexos anibal" xfId="2942"/>
    <cellStyle name="Normal 20" xfId="2943"/>
    <cellStyle name="Normal 21" xfId="2944"/>
    <cellStyle name="Normal 22" xfId="2945"/>
    <cellStyle name="Normal 22 2" xfId="2946"/>
    <cellStyle name="Normal 22 2 2" xfId="2947"/>
    <cellStyle name="Normal 22 3" xfId="2948"/>
    <cellStyle name="Normal 23" xfId="2949"/>
    <cellStyle name="Normal 24" xfId="2950"/>
    <cellStyle name="Normal 25" xfId="2951"/>
    <cellStyle name="Normal 26" xfId="2952"/>
    <cellStyle name="Normal 26 2" xfId="2953"/>
    <cellStyle name="Normal 26 2 2" xfId="2954"/>
    <cellStyle name="Normal 26 2 2 2" xfId="2955"/>
    <cellStyle name="Normal 26 2 3" xfId="2956"/>
    <cellStyle name="Normal 26 3" xfId="2957"/>
    <cellStyle name="Normal 26 3 2" xfId="2958"/>
    <cellStyle name="Normal 26 3 2 2" xfId="2959"/>
    <cellStyle name="Normal 26 3 3" xfId="2960"/>
    <cellStyle name="Normal 26 4" xfId="2961"/>
    <cellStyle name="Normal 26 4 2" xfId="2962"/>
    <cellStyle name="Normal 26 5" xfId="2963"/>
    <cellStyle name="Normal 27" xfId="2964"/>
    <cellStyle name="Normal 28" xfId="2965"/>
    <cellStyle name="Normal 28 2" xfId="2966"/>
    <cellStyle name="Normal 28 2 2" xfId="2967"/>
    <cellStyle name="Normal 28 2 2 2" xfId="2968"/>
    <cellStyle name="Normal 28 2 3" xfId="2969"/>
    <cellStyle name="Normal 28 3" xfId="2970"/>
    <cellStyle name="Normal 28 3 2" xfId="2971"/>
    <cellStyle name="Normal 28 4" xfId="2972"/>
    <cellStyle name="Normal 29" xfId="2973"/>
    <cellStyle name="Normal 29 2" xfId="2974"/>
    <cellStyle name="Normal 29 2 2" xfId="2975"/>
    <cellStyle name="Normal 29 3" xfId="2976"/>
    <cellStyle name="Normal 3" xfId="2977"/>
    <cellStyle name="Normal 3 10" xfId="2978"/>
    <cellStyle name="Normal 3 10 2" xfId="2979"/>
    <cellStyle name="Normal 3 11" xfId="2980"/>
    <cellStyle name="Normal 3 11 2" xfId="2981"/>
    <cellStyle name="Normal 3 12" xfId="2982"/>
    <cellStyle name="Normal 3 12 2" xfId="2983"/>
    <cellStyle name="Normal 3 13" xfId="2984"/>
    <cellStyle name="Normal 3 13 2" xfId="2985"/>
    <cellStyle name="Normal 3 14" xfId="2986"/>
    <cellStyle name="Normal 3 14 2" xfId="2987"/>
    <cellStyle name="Normal 3 15" xfId="2988"/>
    <cellStyle name="Normal 3 15 2" xfId="2989"/>
    <cellStyle name="Normal 3 16" xfId="2990"/>
    <cellStyle name="Normal 3 16 2" xfId="2991"/>
    <cellStyle name="Normal 3 17" xfId="2992"/>
    <cellStyle name="Normal 3 17 2" xfId="2993"/>
    <cellStyle name="Normal 3 18" xfId="2994"/>
    <cellStyle name="Normal 3 18 2" xfId="2995"/>
    <cellStyle name="Normal 3 19" xfId="2996"/>
    <cellStyle name="Normal 3 19 2" xfId="2997"/>
    <cellStyle name="Normal 3 2" xfId="2998"/>
    <cellStyle name="Normal 3 2 10" xfId="2999"/>
    <cellStyle name="Normal 3 2 11" xfId="3000"/>
    <cellStyle name="Normal 3 2 12" xfId="3001"/>
    <cellStyle name="Normal 3 2 13" xfId="3002"/>
    <cellStyle name="Normal 3 2 14" xfId="3003"/>
    <cellStyle name="Normal 3 2 15" xfId="3004"/>
    <cellStyle name="Normal 3 2 16" xfId="3005"/>
    <cellStyle name="Normal 3 2 17" xfId="3006"/>
    <cellStyle name="Normal 3 2 18" xfId="3007"/>
    <cellStyle name="Normal 3 2 19" xfId="3008"/>
    <cellStyle name="Normal 3 2 2" xfId="3009"/>
    <cellStyle name="Normal 3 2 2 10" xfId="3010"/>
    <cellStyle name="Normal 3 2 2 11" xfId="3011"/>
    <cellStyle name="Normal 3 2 2 12" xfId="3012"/>
    <cellStyle name="Normal 3 2 2 13" xfId="3013"/>
    <cellStyle name="Normal 3 2 2 14" xfId="3014"/>
    <cellStyle name="Normal 3 2 2 15" xfId="3015"/>
    <cellStyle name="Normal 3 2 2 16" xfId="3016"/>
    <cellStyle name="Normal 3 2 2 17" xfId="3017"/>
    <cellStyle name="Normal 3 2 2 18" xfId="3018"/>
    <cellStyle name="Normal 3 2 2 19" xfId="3019"/>
    <cellStyle name="Normal 3 2 2 2" xfId="3020"/>
    <cellStyle name="Normal 3 2 2 20" xfId="3021"/>
    <cellStyle name="Normal 3 2 2 21" xfId="3022"/>
    <cellStyle name="Normal 3 2 2 22" xfId="3023"/>
    <cellStyle name="Normal 3 2 2 23" xfId="3024"/>
    <cellStyle name="Normal 3 2 2 24" xfId="3025"/>
    <cellStyle name="Normal 3 2 2 25" xfId="3026"/>
    <cellStyle name="Normal 3 2 2 26" xfId="3027"/>
    <cellStyle name="Normal 3 2 2 27" xfId="3028"/>
    <cellStyle name="Normal 3 2 2 3" xfId="3029"/>
    <cellStyle name="Normal 3 2 2 4" xfId="3030"/>
    <cellStyle name="Normal 3 2 2 5" xfId="3031"/>
    <cellStyle name="Normal 3 2 2 6" xfId="3032"/>
    <cellStyle name="Normal 3 2 2 7" xfId="3033"/>
    <cellStyle name="Normal 3 2 2 8" xfId="3034"/>
    <cellStyle name="Normal 3 2 2 9" xfId="3035"/>
    <cellStyle name="Normal 3 2 20" xfId="3036"/>
    <cellStyle name="Normal 3 2 20 2" xfId="3037"/>
    <cellStyle name="Normal 3 2 21" xfId="3038"/>
    <cellStyle name="Normal 3 2 21 2" xfId="3039"/>
    <cellStyle name="Normal 3 2 22" xfId="3040"/>
    <cellStyle name="Normal 3 2 22 2" xfId="3041"/>
    <cellStyle name="Normal 3 2 23" xfId="3042"/>
    <cellStyle name="Normal 3 2 23 2" xfId="3043"/>
    <cellStyle name="Normal 3 2 24" xfId="3044"/>
    <cellStyle name="Normal 3 2 24 2" xfId="3045"/>
    <cellStyle name="Normal 3 2 25" xfId="3046"/>
    <cellStyle name="Normal 3 2 25 2" xfId="3047"/>
    <cellStyle name="Normal 3 2 26" xfId="3048"/>
    <cellStyle name="Normal 3 2 26 2" xfId="3049"/>
    <cellStyle name="Normal 3 2 27" xfId="3050"/>
    <cellStyle name="Normal 3 2 27 2" xfId="3051"/>
    <cellStyle name="Normal 3 2 28" xfId="3052"/>
    <cellStyle name="Normal 3 2 28 2" xfId="3053"/>
    <cellStyle name="Normal 3 2 29" xfId="3054"/>
    <cellStyle name="Normal 3 2 29 2" xfId="3055"/>
    <cellStyle name="Normal 3 2 3" xfId="3056"/>
    <cellStyle name="Normal 3 2 30" xfId="3057"/>
    <cellStyle name="Normal 3 2 30 2" xfId="3058"/>
    <cellStyle name="Normal 3 2 31" xfId="3059"/>
    <cellStyle name="Normal 3 2 31 2" xfId="3060"/>
    <cellStyle name="Normal 3 2 32" xfId="3061"/>
    <cellStyle name="Normal 3 2 32 2" xfId="3062"/>
    <cellStyle name="Normal 3 2 33" xfId="3063"/>
    <cellStyle name="Normal 3 2 33 2" xfId="3064"/>
    <cellStyle name="Normal 3 2 34" xfId="3065"/>
    <cellStyle name="Normal 3 2 34 2" xfId="3066"/>
    <cellStyle name="Normal 3 2 35" xfId="3067"/>
    <cellStyle name="Normal 3 2 35 2" xfId="3068"/>
    <cellStyle name="Normal 3 2 36" xfId="3069"/>
    <cellStyle name="Normal 3 2 36 2" xfId="3070"/>
    <cellStyle name="Normal 3 2 37" xfId="3071"/>
    <cellStyle name="Normal 3 2 37 2" xfId="3072"/>
    <cellStyle name="Normal 3 2 38" xfId="3073"/>
    <cellStyle name="Normal 3 2 38 2" xfId="3074"/>
    <cellStyle name="Normal 3 2 39" xfId="3075"/>
    <cellStyle name="Normal 3 2 39 2" xfId="3076"/>
    <cellStyle name="Normal 3 2 4" xfId="3077"/>
    <cellStyle name="Normal 3 2 40" xfId="3078"/>
    <cellStyle name="Normal 3 2 40 2" xfId="3079"/>
    <cellStyle name="Normal 3 2 41" xfId="3080"/>
    <cellStyle name="Normal 3 2 41 2" xfId="3081"/>
    <cellStyle name="Normal 3 2 42" xfId="3082"/>
    <cellStyle name="Normal 3 2 42 2" xfId="3083"/>
    <cellStyle name="Normal 3 2 43" xfId="3084"/>
    <cellStyle name="Normal 3 2 43 2" xfId="3085"/>
    <cellStyle name="Normal 3 2 5" xfId="3086"/>
    <cellStyle name="Normal 3 2 6" xfId="3087"/>
    <cellStyle name="Normal 3 2 7" xfId="3088"/>
    <cellStyle name="Normal 3 2 8" xfId="3089"/>
    <cellStyle name="Normal 3 2 9" xfId="3090"/>
    <cellStyle name="Normal 3 20" xfId="3091"/>
    <cellStyle name="Normal 3 21" xfId="3092"/>
    <cellStyle name="Normal 3 22" xfId="3093"/>
    <cellStyle name="Normal 3 23" xfId="3094"/>
    <cellStyle name="Normal 3 24" xfId="3095"/>
    <cellStyle name="Normal 3 25" xfId="3096"/>
    <cellStyle name="Normal 3 26" xfId="3097"/>
    <cellStyle name="Normal 3 27" xfId="3098"/>
    <cellStyle name="Normal 3 28" xfId="3099"/>
    <cellStyle name="Normal 3 29" xfId="3100"/>
    <cellStyle name="Normal 3 3" xfId="3101"/>
    <cellStyle name="Normal 3 3 2" xfId="3102"/>
    <cellStyle name="Normal 3 3 2 2" xfId="3103"/>
    <cellStyle name="Normal 3 30" xfId="3104"/>
    <cellStyle name="Normal 3 31" xfId="3105"/>
    <cellStyle name="Normal 3 32" xfId="3106"/>
    <cellStyle name="Normal 3 33" xfId="3107"/>
    <cellStyle name="Normal 3 34" xfId="3108"/>
    <cellStyle name="Normal 3 35" xfId="3109"/>
    <cellStyle name="Normal 3 36" xfId="3110"/>
    <cellStyle name="Normal 3 37" xfId="3111"/>
    <cellStyle name="Normal 3 38" xfId="3112"/>
    <cellStyle name="Normal 3 39" xfId="3113"/>
    <cellStyle name="Normal 3 4" xfId="3114"/>
    <cellStyle name="Normal 3 40" xfId="3115"/>
    <cellStyle name="Normal 3 41" xfId="3116"/>
    <cellStyle name="Normal 3 42" xfId="3117"/>
    <cellStyle name="Normal 3 43" xfId="3118"/>
    <cellStyle name="Normal 3 5" xfId="3119"/>
    <cellStyle name="Normal 3 5 2" xfId="3120"/>
    <cellStyle name="Normal 3 5 2 2" xfId="3121"/>
    <cellStyle name="Normal 3 5 3" xfId="3122"/>
    <cellStyle name="Normal 3 6" xfId="3123"/>
    <cellStyle name="Normal 3 6 2" xfId="3124"/>
    <cellStyle name="Normal 3 6 2 2" xfId="3125"/>
    <cellStyle name="Normal 3 6 3" xfId="3126"/>
    <cellStyle name="Normal 3 7" xfId="3127"/>
    <cellStyle name="Normal 3 7 2" xfId="3128"/>
    <cellStyle name="Normal 3 8" xfId="3129"/>
    <cellStyle name="Normal 3 8 2" xfId="3130"/>
    <cellStyle name="Normal 3 9" xfId="3131"/>
    <cellStyle name="Normal 3 9 2" xfId="3132"/>
    <cellStyle name="Normal 30" xfId="3133"/>
    <cellStyle name="Normal 31" xfId="3134"/>
    <cellStyle name="Normal 32" xfId="3135"/>
    <cellStyle name="Normal 33" xfId="3136"/>
    <cellStyle name="Normal 33 2" xfId="3137"/>
    <cellStyle name="Normal 33 2 2" xfId="3138"/>
    <cellStyle name="Normal 33 3" xfId="3139"/>
    <cellStyle name="Normal 34" xfId="3140"/>
    <cellStyle name="Normal 35" xfId="3141"/>
    <cellStyle name="Normal 35 2" xfId="3142"/>
    <cellStyle name="Normal 35 2 2" xfId="3143"/>
    <cellStyle name="Normal 35 3" xfId="3144"/>
    <cellStyle name="Normal 36" xfId="3145"/>
    <cellStyle name="Normal 37" xfId="3146"/>
    <cellStyle name="Normal 37 2" xfId="3147"/>
    <cellStyle name="Normal 37 2 2" xfId="3148"/>
    <cellStyle name="Normal 37 3" xfId="3149"/>
    <cellStyle name="Normal 38" xfId="3150"/>
    <cellStyle name="Normal 39" xfId="3151"/>
    <cellStyle name="Normal 39 2" xfId="3152"/>
    <cellStyle name="Normal 39 2 2" xfId="3153"/>
    <cellStyle name="Normal 39 3" xfId="3154"/>
    <cellStyle name="Normal 4" xfId="3155"/>
    <cellStyle name="Normal 4 10" xfId="3156"/>
    <cellStyle name="Normal 4 11" xfId="3157"/>
    <cellStyle name="Normal 4 12" xfId="3158"/>
    <cellStyle name="Normal 4 13" xfId="3159"/>
    <cellStyle name="Normal 4 14" xfId="3160"/>
    <cellStyle name="Normal 4 15" xfId="3161"/>
    <cellStyle name="Normal 4 16" xfId="3162"/>
    <cellStyle name="Normal 4 17" xfId="3163"/>
    <cellStyle name="Normal 4 18" xfId="3164"/>
    <cellStyle name="Normal 4 19" xfId="3165"/>
    <cellStyle name="Normal 4 2" xfId="3166"/>
    <cellStyle name="Normal 4 2 2" xfId="3167"/>
    <cellStyle name="Normal 4 2 2 2" xfId="3168"/>
    <cellStyle name="Normal 4 2 2 2 2" xfId="3169"/>
    <cellStyle name="Normal 4 2 2 3" xfId="3170"/>
    <cellStyle name="Normal 4 20" xfId="3171"/>
    <cellStyle name="Normal 4 22" xfId="3172"/>
    <cellStyle name="Normal 4 22 2" xfId="3173"/>
    <cellStyle name="Normal 4 3" xfId="3174"/>
    <cellStyle name="Normal 4 4" xfId="3175"/>
    <cellStyle name="Normal 4 4 2" xfId="3176"/>
    <cellStyle name="Normal 4 4 2 2" xfId="3177"/>
    <cellStyle name="Normal 4 4 3" xfId="3178"/>
    <cellStyle name="Normal 4 5" xfId="3179"/>
    <cellStyle name="Normal 4 5 2" xfId="3180"/>
    <cellStyle name="Normal 4 5 2 2" xfId="3181"/>
    <cellStyle name="Normal 4 5 3" xfId="3182"/>
    <cellStyle name="Normal 4 6" xfId="3183"/>
    <cellStyle name="Normal 4 6 2" xfId="3184"/>
    <cellStyle name="Normal 4 6 2 2" xfId="3185"/>
    <cellStyle name="Normal 4 6 3" xfId="3186"/>
    <cellStyle name="Normal 4 7" xfId="3187"/>
    <cellStyle name="Normal 4 7 2" xfId="3188"/>
    <cellStyle name="Normal 4 7 2 2" xfId="3189"/>
    <cellStyle name="Normal 4 7 3" xfId="3190"/>
    <cellStyle name="Normal 4 8" xfId="3191"/>
    <cellStyle name="Normal 4 8 2" xfId="3192"/>
    <cellStyle name="Normal 4 9" xfId="3193"/>
    <cellStyle name="Normal 40" xfId="3194"/>
    <cellStyle name="Normal 40 2" xfId="3195"/>
    <cellStyle name="Normal 40 2 2" xfId="3196"/>
    <cellStyle name="Normal 40 3" xfId="3197"/>
    <cellStyle name="Normal 41" xfId="3198"/>
    <cellStyle name="Normal 42" xfId="3199"/>
    <cellStyle name="Normal 43" xfId="3200"/>
    <cellStyle name="Normal 44" xfId="3201"/>
    <cellStyle name="Normal 44 2" xfId="3202"/>
    <cellStyle name="Normal 44 2 2" xfId="3203"/>
    <cellStyle name="Normal 44 3" xfId="3204"/>
    <cellStyle name="Normal 45" xfId="3205"/>
    <cellStyle name="Normal 45 2" xfId="3206"/>
    <cellStyle name="Normal 45 2 2" xfId="3207"/>
    <cellStyle name="Normal 45 3" xfId="3208"/>
    <cellStyle name="Normal 45 3 2" xfId="3209"/>
    <cellStyle name="Normal 45 3 2 2" xfId="3210"/>
    <cellStyle name="Normal 45 3 2 2 2" xfId="3211"/>
    <cellStyle name="Normal 45 3 2 3" xfId="3212"/>
    <cellStyle name="Normal 45 3 2 3 2" xfId="3213"/>
    <cellStyle name="Normal 45 3 2 4" xfId="3214"/>
    <cellStyle name="Normal 45 3 2 4 2" xfId="3215"/>
    <cellStyle name="Normal 45 3 2 5" xfId="3216"/>
    <cellStyle name="Normal 45 3 3" xfId="3217"/>
    <cellStyle name="Normal 45 4" xfId="3218"/>
    <cellStyle name="Normal 46" xfId="3219"/>
    <cellStyle name="Normal 46 2" xfId="3220"/>
    <cellStyle name="Normal 47" xfId="3221"/>
    <cellStyle name="Normal 48" xfId="3222"/>
    <cellStyle name="Normal 48 2" xfId="3223"/>
    <cellStyle name="Normal 48 2 2" xfId="3224"/>
    <cellStyle name="Normal 48 2 2 2" xfId="3225"/>
    <cellStyle name="Normal 48 2 3" xfId="3226"/>
    <cellStyle name="Normal 48 2 3 2" xfId="3227"/>
    <cellStyle name="Normal 48 2 3 2 2" xfId="3228"/>
    <cellStyle name="Normal 48 2 3 2 2 2" xfId="3229"/>
    <cellStyle name="Normal 48 2 3 2 3" xfId="3230"/>
    <cellStyle name="Normal 48 2 3 2 3 2" xfId="3231"/>
    <cellStyle name="Normal 48 2 3 2 4" xfId="3232"/>
    <cellStyle name="Normal 48 2 3 2 4 2" xfId="3233"/>
    <cellStyle name="Normal 48 2 3 2 5" xfId="3234"/>
    <cellStyle name="Normal 48 2 3 3" xfId="3235"/>
    <cellStyle name="Normal 48 2 3 3 2" xfId="3236"/>
    <cellStyle name="Normal 48 2 3 4" xfId="3237"/>
    <cellStyle name="Normal 48 2 3 4 2" xfId="3238"/>
    <cellStyle name="Normal 48 2 3 5" xfId="3239"/>
    <cellStyle name="Normal 48 2 4" xfId="3240"/>
    <cellStyle name="Normal 48 3" xfId="3241"/>
    <cellStyle name="Normal 49" xfId="3242"/>
    <cellStyle name="Normal 5" xfId="3243"/>
    <cellStyle name="Normal 5 10" xfId="3244"/>
    <cellStyle name="Normal 5 11" xfId="3245"/>
    <cellStyle name="Normal 5 12" xfId="3246"/>
    <cellStyle name="Normal 5 13" xfId="3247"/>
    <cellStyle name="Normal 5 14" xfId="3248"/>
    <cellStyle name="Normal 5 15" xfId="3249"/>
    <cellStyle name="Normal 5 16" xfId="3250"/>
    <cellStyle name="Normal 5 17" xfId="3251"/>
    <cellStyle name="Normal 5 18" xfId="3252"/>
    <cellStyle name="Normal 5 19" xfId="3253"/>
    <cellStyle name="Normal 5 2" xfId="3254"/>
    <cellStyle name="Normal 5 3" xfId="3255"/>
    <cellStyle name="Normal 5 3 2" xfId="3256"/>
    <cellStyle name="Normal 5 3 2 2" xfId="3257"/>
    <cellStyle name="Normal 5 3 3" xfId="3258"/>
    <cellStyle name="Normal 5 3 3 2" xfId="3259"/>
    <cellStyle name="Normal 5 3 3 2 2" xfId="3260"/>
    <cellStyle name="Normal 5 3 3 3" xfId="3261"/>
    <cellStyle name="Normal 5 3 3 3 2" xfId="3262"/>
    <cellStyle name="Normal 5 3 3 4" xfId="3263"/>
    <cellStyle name="Normal 5 3 3 4 2" xfId="3264"/>
    <cellStyle name="Normal 5 3 3 4 2 2" xfId="3265"/>
    <cellStyle name="Normal 5 3 3 4 2 2 2" xfId="3266"/>
    <cellStyle name="Normal 5 3 3 4 2 3" xfId="3267"/>
    <cellStyle name="Normal 5 3 3 4 2 3 2" xfId="3268"/>
    <cellStyle name="Normal 5 3 3 4 2 3 2 2" xfId="3269"/>
    <cellStyle name="Normal 5 3 3 4 2 3 2 2 2" xfId="3270"/>
    <cellStyle name="Normal 5 3 3 4 2 3 2 3" xfId="3271"/>
    <cellStyle name="Normal 5 3 3 4 2 3 3" xfId="3272"/>
    <cellStyle name="Normal 5 3 3 4 2 4" xfId="3273"/>
    <cellStyle name="Normal 5 3 3 4 2 4 2" xfId="3274"/>
    <cellStyle name="Normal 5 3 3 4 2 5" xfId="3275"/>
    <cellStyle name="Normal 5 3 3 4 3" xfId="3276"/>
    <cellStyle name="Normal 5 3 3 4 3 2" xfId="3277"/>
    <cellStyle name="Normal 5 3 3 4 4" xfId="3278"/>
    <cellStyle name="Normal 5 3 3 4 4 2" xfId="3279"/>
    <cellStyle name="Normal 5 3 3 4 5" xfId="3280"/>
    <cellStyle name="Normal 5 3 3 5" xfId="3281"/>
    <cellStyle name="Normal 5 3 4" xfId="3282"/>
    <cellStyle name="Normal 5 3 4 2" xfId="3283"/>
    <cellStyle name="Normal 5 3 5" xfId="3284"/>
    <cellStyle name="Normal 5 4" xfId="3285"/>
    <cellStyle name="Normal 5 4 2" xfId="3286"/>
    <cellStyle name="Normal 5 4 2 2" xfId="3287"/>
    <cellStyle name="Normal 5 4 3" xfId="3288"/>
    <cellStyle name="Normal 5 5" xfId="3289"/>
    <cellStyle name="Normal 5 5 2" xfId="3290"/>
    <cellStyle name="Normal 5 5 2 2" xfId="3291"/>
    <cellStyle name="Normal 5 5 3" xfId="3292"/>
    <cellStyle name="Normal 5 6" xfId="3293"/>
    <cellStyle name="Normal 5 6 2" xfId="3294"/>
    <cellStyle name="Normal 5 6 2 2" xfId="3295"/>
    <cellStyle name="Normal 5 6 3" xfId="3296"/>
    <cellStyle name="Normal 5 7" xfId="3297"/>
    <cellStyle name="Normal 5 7 2" xfId="3298"/>
    <cellStyle name="Normal 5 8" xfId="3299"/>
    <cellStyle name="Normal 5 9" xfId="3300"/>
    <cellStyle name="Normal 50" xfId="3301"/>
    <cellStyle name="Normal 51" xfId="3302"/>
    <cellStyle name="Normal 51 2" xfId="3303"/>
    <cellStyle name="Normal 52" xfId="3304"/>
    <cellStyle name="Normal 52 2" xfId="3305"/>
    <cellStyle name="Normal 52 2 2" xfId="3306"/>
    <cellStyle name="Normal 52 3" xfId="3307"/>
    <cellStyle name="Normal 52 3 2" xfId="3308"/>
    <cellStyle name="Normal 52 4" xfId="3309"/>
    <cellStyle name="Normal 52 4 2" xfId="3310"/>
    <cellStyle name="Normal 52 5" xfId="3311"/>
    <cellStyle name="Normal 53" xfId="3312"/>
    <cellStyle name="Normal 53 2" xfId="3313"/>
    <cellStyle name="Normal 54" xfId="3314"/>
    <cellStyle name="Normal 55" xfId="3315"/>
    <cellStyle name="Normal 56" xfId="3316"/>
    <cellStyle name="Normal 57" xfId="3317"/>
    <cellStyle name="Normal 57 2" xfId="3318"/>
    <cellStyle name="Normal 58" xfId="3319"/>
    <cellStyle name="Normal 58 2" xfId="3320"/>
    <cellStyle name="Normal 59" xfId="3321"/>
    <cellStyle name="Normal 59 2" xfId="3322"/>
    <cellStyle name="Normal 6" xfId="3323"/>
    <cellStyle name="Normal 6 2" xfId="3324"/>
    <cellStyle name="Normal 6 2 2" xfId="3325"/>
    <cellStyle name="Normal 6 2 2 2" xfId="3326"/>
    <cellStyle name="Normal 6 2 3" xfId="3327"/>
    <cellStyle name="Normal 6 3" xfId="3328"/>
    <cellStyle name="Normal 6 4" xfId="3329"/>
    <cellStyle name="Normal 6 4 2" xfId="3330"/>
    <cellStyle name="Normal 60" xfId="3331"/>
    <cellStyle name="Normal 60 2" xfId="3332"/>
    <cellStyle name="Normal 60 2 2" xfId="3333"/>
    <cellStyle name="Normal 60 2 2 2" xfId="3334"/>
    <cellStyle name="Normal 60 2 2 2 2" xfId="3335"/>
    <cellStyle name="Normal 60 2 2 3" xfId="3336"/>
    <cellStyle name="Normal 60 2 3" xfId="3337"/>
    <cellStyle name="Normal 60 2 3 2" xfId="3338"/>
    <cellStyle name="Normal 60 2 4" xfId="3339"/>
    <cellStyle name="Normal 60 3" xfId="3340"/>
    <cellStyle name="Normal 60 3 2" xfId="3341"/>
    <cellStyle name="Normal 60 4" xfId="3342"/>
    <cellStyle name="Normal 60 4 2" xfId="3343"/>
    <cellStyle name="Normal 60 4 2 2" xfId="3344"/>
    <cellStyle name="Normal 60 4 3" xfId="3345"/>
    <cellStyle name="Normal 61" xfId="3346"/>
    <cellStyle name="Normal 61 2" xfId="3347"/>
    <cellStyle name="Normal 62" xfId="3348"/>
    <cellStyle name="Normal 62 2" xfId="3349"/>
    <cellStyle name="Normal 63" xfId="3350"/>
    <cellStyle name="Normal 64" xfId="3351"/>
    <cellStyle name="Normal 65" xfId="3352"/>
    <cellStyle name="Normal 66" xfId="3353"/>
    <cellStyle name="Normal 66 2" xfId="3354"/>
    <cellStyle name="Normal 67" xfId="3355"/>
    <cellStyle name="Normal 68" xfId="3356"/>
    <cellStyle name="Normal 68 2" xfId="3357"/>
    <cellStyle name="Normal 69" xfId="3358"/>
    <cellStyle name="Normal 69 2" xfId="3359"/>
    <cellStyle name="Normal 7" xfId="3360"/>
    <cellStyle name="Normal 7 2" xfId="3361"/>
    <cellStyle name="Normal 7 2 2" xfId="3362"/>
    <cellStyle name="Normal 7 3" xfId="3363"/>
    <cellStyle name="Normal 70" xfId="3364"/>
    <cellStyle name="Normal 70 2" xfId="3365"/>
    <cellStyle name="Normal 70 2 2" xfId="3366"/>
    <cellStyle name="Normal 70 2 2 2" xfId="3367"/>
    <cellStyle name="Normal 70 2 3" xfId="3368"/>
    <cellStyle name="Normal 70 2 3 2" xfId="3369"/>
    <cellStyle name="Normal 70 2 3 2 2" xfId="3370"/>
    <cellStyle name="Normal 70 2 3 3" xfId="3371"/>
    <cellStyle name="Normal 70 2 3 3 2" xfId="3372"/>
    <cellStyle name="Normal 70 2 3 4" xfId="3373"/>
    <cellStyle name="Normal 70 2 3 4 2" xfId="3374"/>
    <cellStyle name="Normal 70 2 3 5" xfId="3375"/>
    <cellStyle name="Normal 70 2 3 5 2" xfId="3376"/>
    <cellStyle name="Normal 70 2 3 6" xfId="3377"/>
    <cellStyle name="Normal 70 2 3 6 2" xfId="3378"/>
    <cellStyle name="Normal 70 2 3 7" xfId="3379"/>
    <cellStyle name="Normal 70 2 3 7 2" xfId="3380"/>
    <cellStyle name="Normal 70 2 3 8" xfId="3381"/>
    <cellStyle name="Normal 70 2 4" xfId="3382"/>
    <cellStyle name="Normal 70 2 4 2" xfId="3383"/>
    <cellStyle name="Normal 70 2 5" xfId="3384"/>
    <cellStyle name="Normal 70 3" xfId="3385"/>
    <cellStyle name="Normal 70 3 2" xfId="3386"/>
    <cellStyle name="Normal 70 4" xfId="3387"/>
    <cellStyle name="Normal 70 4 2" xfId="3388"/>
    <cellStyle name="Normal 70 5" xfId="3389"/>
    <cellStyle name="Normal 71" xfId="3390"/>
    <cellStyle name="Normal 71 2" xfId="3391"/>
    <cellStyle name="Normal 71 2 2" xfId="3392"/>
    <cellStyle name="Normal 71 2 2 2" xfId="3393"/>
    <cellStyle name="Normal 71 2 3" xfId="3394"/>
    <cellStyle name="Normal 71 2 3 2" xfId="3395"/>
    <cellStyle name="Normal 71 2 3 2 2" xfId="3396"/>
    <cellStyle name="Normal 71 2 3 2 2 2" xfId="3397"/>
    <cellStyle name="Normal 71 2 3 2 3" xfId="3398"/>
    <cellStyle name="Normal 71 2 3 3" xfId="3399"/>
    <cellStyle name="Normal 71 2 4" xfId="3400"/>
    <cellStyle name="Normal 71 2 4 2" xfId="3401"/>
    <cellStyle name="Normal 71 2 5" xfId="3402"/>
    <cellStyle name="Normal 71 3" xfId="3403"/>
    <cellStyle name="Normal 71 3 2" xfId="3404"/>
    <cellStyle name="Normal 71 4" xfId="3405"/>
    <cellStyle name="Normal 71 4 2" xfId="3406"/>
    <cellStyle name="Normal 71 5" xfId="3407"/>
    <cellStyle name="Normal 72" xfId="3408"/>
    <cellStyle name="Normal 72 2" xfId="3409"/>
    <cellStyle name="Normal 73" xfId="3410"/>
    <cellStyle name="Normal 73 2" xfId="3411"/>
    <cellStyle name="Normal 74" xfId="3412"/>
    <cellStyle name="Normal 74 2" xfId="3413"/>
    <cellStyle name="Normal 74 3" xfId="3414"/>
    <cellStyle name="Normal 74 3 2" xfId="3415"/>
    <cellStyle name="Normal 74 4" xfId="3416"/>
    <cellStyle name="Normal 75" xfId="3417"/>
    <cellStyle name="Normal 75 2" xfId="3418"/>
    <cellStyle name="Normal 75 2 2" xfId="3419"/>
    <cellStyle name="Normal 75 2 2 2" xfId="3420"/>
    <cellStyle name="Normal 75 2 2 2 2" xfId="3421"/>
    <cellStyle name="Normal 75 2 2 3" xfId="3422"/>
    <cellStyle name="Normal 75 2 2 3 2" xfId="3423"/>
    <cellStyle name="Normal 75 2 2 3 2 2" xfId="3424"/>
    <cellStyle name="Normal 75 2 2 3 3" xfId="3425"/>
    <cellStyle name="Normal 75 2 2 4" xfId="3426"/>
    <cellStyle name="Normal 75 2 2 4 2" xfId="3427"/>
    <cellStyle name="Normal 75 2 2 5" xfId="3428"/>
    <cellStyle name="Normal 75 2 2 5 2" xfId="3429"/>
    <cellStyle name="Normal 75 2 2 6" xfId="3430"/>
    <cellStyle name="Normal 75 2 3" xfId="3431"/>
    <cellStyle name="Normal 75 3" xfId="3432"/>
    <cellStyle name="Normal 76" xfId="3433"/>
    <cellStyle name="Normal 76 2" xfId="3434"/>
    <cellStyle name="Normal 77" xfId="3435"/>
    <cellStyle name="Normal 78" xfId="3436"/>
    <cellStyle name="Normal 78 2" xfId="3437"/>
    <cellStyle name="Normal 79" xfId="3438"/>
    <cellStyle name="Normal 8" xfId="3439"/>
    <cellStyle name="Normal 8 2" xfId="3440"/>
    <cellStyle name="Normal 8 2 2" xfId="3441"/>
    <cellStyle name="Normal 8 2 2 2" xfId="3442"/>
    <cellStyle name="Normal 8 2 3" xfId="3443"/>
    <cellStyle name="Normal 8 3" xfId="3444"/>
    <cellStyle name="Normal 80" xfId="3445"/>
    <cellStyle name="Normal 81" xfId="3446"/>
    <cellStyle name="Normal 81 2" xfId="3447"/>
    <cellStyle name="Normal 82" xfId="3448"/>
    <cellStyle name="Normal 82 2" xfId="3449"/>
    <cellStyle name="Normal 82 2 2" xfId="3450"/>
    <cellStyle name="Normal 82 3" xfId="3451"/>
    <cellStyle name="Normal 83" xfId="3452"/>
    <cellStyle name="Normal 83 2" xfId="3453"/>
    <cellStyle name="Normal 83 2 2" xfId="3454"/>
    <cellStyle name="Normal 83 3" xfId="3455"/>
    <cellStyle name="Normal 84" xfId="3456"/>
    <cellStyle name="Normal 84 2" xfId="3457"/>
    <cellStyle name="Normal 84 2 2" xfId="3458"/>
    <cellStyle name="Normal 85" xfId="3459"/>
    <cellStyle name="Normal 85 2" xfId="3460"/>
    <cellStyle name="Normal 86" xfId="3461"/>
    <cellStyle name="Normal 87" xfId="3462"/>
    <cellStyle name="Normal 87 2" xfId="3463"/>
    <cellStyle name="Normal 87 2 2" xfId="3464"/>
    <cellStyle name="Normal 87 3" xfId="3465"/>
    <cellStyle name="Normal 88" xfId="3466"/>
    <cellStyle name="Normal 88 2" xfId="3467"/>
    <cellStyle name="Normal 89" xfId="3468"/>
    <cellStyle name="Normal 89 2" xfId="3469"/>
    <cellStyle name="Normal 9" xfId="3470"/>
    <cellStyle name="Normal 9 2" xfId="3471"/>
    <cellStyle name="Normal 9 2 2" xfId="3472"/>
    <cellStyle name="Normal 9 2 2 2" xfId="3473"/>
    <cellStyle name="Normal 9 2 3" xfId="3474"/>
    <cellStyle name="Normal 9 3" xfId="3475"/>
    <cellStyle name="Normal 9 3 2" xfId="3476"/>
    <cellStyle name="Normal 9 3 2 2" xfId="3477"/>
    <cellStyle name="Normal 9 3 3" xfId="3478"/>
    <cellStyle name="Normal 9 4" xfId="3479"/>
    <cellStyle name="Normal 9 4 2" xfId="3480"/>
    <cellStyle name="Normal 9 5" xfId="3481"/>
    <cellStyle name="Normal 90" xfId="3482"/>
    <cellStyle name="Normal 91" xfId="3483"/>
    <cellStyle name="Normal 92" xfId="3484"/>
    <cellStyle name="Normal 92 2" xfId="3485"/>
    <cellStyle name="Normal 93" xfId="3486"/>
    <cellStyle name="Normal 93 2" xfId="3487"/>
    <cellStyle name="Normal 94" xfId="3488"/>
    <cellStyle name="Normal 94 2" xfId="3489"/>
    <cellStyle name="Normal 95" xfId="3490"/>
    <cellStyle name="Normal 96" xfId="3491"/>
    <cellStyle name="Normal 96 2" xfId="3492"/>
    <cellStyle name="Normal 97" xfId="3493"/>
    <cellStyle name="Normal 97 2" xfId="3494"/>
    <cellStyle name="Normal 98" xfId="3495"/>
    <cellStyle name="Normal 98 2" xfId="3496"/>
    <cellStyle name="Normal 99" xfId="3497"/>
    <cellStyle name="Normal 99 2" xfId="3498"/>
    <cellStyle name="Normal_Estados Financieros 2005" xfId="4"/>
    <cellStyle name="Notas 10" xfId="3499"/>
    <cellStyle name="Notas 11" xfId="3500"/>
    <cellStyle name="Notas 12" xfId="3501"/>
    <cellStyle name="Notas 13" xfId="3502"/>
    <cellStyle name="Notas 14" xfId="3503"/>
    <cellStyle name="Notas 15" xfId="3504"/>
    <cellStyle name="Notas 16" xfId="3505"/>
    <cellStyle name="Notas 17" xfId="3506"/>
    <cellStyle name="Notas 18" xfId="3507"/>
    <cellStyle name="Notas 19" xfId="3508"/>
    <cellStyle name="Notas 2" xfId="3509"/>
    <cellStyle name="Notas 2 10" xfId="3510"/>
    <cellStyle name="Notas 2 11" xfId="3511"/>
    <cellStyle name="Notas 2 12" xfId="3512"/>
    <cellStyle name="Notas 2 13" xfId="3513"/>
    <cellStyle name="Notas 2 14" xfId="3514"/>
    <cellStyle name="Notas 2 15" xfId="3515"/>
    <cellStyle name="Notas 2 16" xfId="3516"/>
    <cellStyle name="Notas 2 17" xfId="3517"/>
    <cellStyle name="Notas 2 18" xfId="3518"/>
    <cellStyle name="Notas 2 19" xfId="3519"/>
    <cellStyle name="Notas 2 2" xfId="3520"/>
    <cellStyle name="Notas 2 20" xfId="3521"/>
    <cellStyle name="Notas 2 21" xfId="3522"/>
    <cellStyle name="Notas 2 3" xfId="3523"/>
    <cellStyle name="Notas 2 4" xfId="3524"/>
    <cellStyle name="Notas 2 5" xfId="3525"/>
    <cellStyle name="Notas 2 6" xfId="3526"/>
    <cellStyle name="Notas 2 7" xfId="3527"/>
    <cellStyle name="Notas 2 8" xfId="3528"/>
    <cellStyle name="Notas 2 9" xfId="3529"/>
    <cellStyle name="Notas 20" xfId="3530"/>
    <cellStyle name="Notas 21" xfId="3531"/>
    <cellStyle name="Notas 22" xfId="3532"/>
    <cellStyle name="Notas 23" xfId="3533"/>
    <cellStyle name="Notas 24" xfId="3534"/>
    <cellStyle name="Notas 25" xfId="3535"/>
    <cellStyle name="Notas 26" xfId="3536"/>
    <cellStyle name="Notas 3" xfId="3537"/>
    <cellStyle name="Notas 3 2" xfId="3538"/>
    <cellStyle name="Notas 4" xfId="3539"/>
    <cellStyle name="Notas 4 2" xfId="3540"/>
    <cellStyle name="Notas 5" xfId="3541"/>
    <cellStyle name="Notas 6" xfId="3542"/>
    <cellStyle name="Notas 7" xfId="3543"/>
    <cellStyle name="Notas 8" xfId="3544"/>
    <cellStyle name="Notas 9" xfId="3545"/>
    <cellStyle name="Note" xfId="3546"/>
    <cellStyle name="Note 2" xfId="3547"/>
    <cellStyle name="Note 3" xfId="3548"/>
    <cellStyle name="Obliczenia" xfId="3549"/>
    <cellStyle name="Output" xfId="3550"/>
    <cellStyle name="Percen - Style2" xfId="3551"/>
    <cellStyle name="Percent %" xfId="3552"/>
    <cellStyle name="Percent % Long Underline" xfId="3553"/>
    <cellStyle name="Percent %_Worksheet in J: MARKETING Templates D&amp;T Templates Noviembre 2002 Informe Modelo" xfId="3554"/>
    <cellStyle name="Percent (0)" xfId="3555"/>
    <cellStyle name="Percent [2]" xfId="3556"/>
    <cellStyle name="Percent 0.0%" xfId="3557"/>
    <cellStyle name="Percent 0.0% Long Underline" xfId="3558"/>
    <cellStyle name="Percent 0.0%_Worksheet in J: MARKETING Templates D&amp;T Templates Noviembre 2002 Informe Modelo" xfId="3559"/>
    <cellStyle name="Percent 0.00%" xfId="3560"/>
    <cellStyle name="Percent 0.00% Long Underline" xfId="3561"/>
    <cellStyle name="Percent 0.00%_Worksheet in J: MARKETING Templates D&amp;T Templates Noviembre 2002 Informe Modelo" xfId="3562"/>
    <cellStyle name="Percent 0.000%" xfId="3563"/>
    <cellStyle name="Percent 0.000% Long Underline" xfId="3564"/>
    <cellStyle name="Percent 0.000%_Worksheet in J: MARKETING Templates D&amp;T Templates Noviembre 2002 Informe Modelo" xfId="3565"/>
    <cellStyle name="Percent 2" xfId="3566"/>
    <cellStyle name="Percent 2 2" xfId="3567"/>
    <cellStyle name="Percent 3" xfId="3568"/>
    <cellStyle name="Percent 4" xfId="3569"/>
    <cellStyle name="Percent 5" xfId="3570"/>
    <cellStyle name="Porcentaje" xfId="6" builtinId="5"/>
    <cellStyle name="Porcentaje 2" xfId="3571"/>
    <cellStyle name="Porcentaje 2 2" xfId="3572"/>
    <cellStyle name="Porcentual 10" xfId="3573"/>
    <cellStyle name="Porcentual 11" xfId="3574"/>
    <cellStyle name="Porcentual 11 2" xfId="3575"/>
    <cellStyle name="Porcentual 12" xfId="3576"/>
    <cellStyle name="Porcentual 13" xfId="3577"/>
    <cellStyle name="Porcentual 13 2" xfId="3578"/>
    <cellStyle name="Porcentual 14" xfId="3579"/>
    <cellStyle name="Porcentual 14 2" xfId="3580"/>
    <cellStyle name="Porcentual 15" xfId="3581"/>
    <cellStyle name="Porcentual 15 2" xfId="3582"/>
    <cellStyle name="Porcentual 16" xfId="3583"/>
    <cellStyle name="Porcentual 17" xfId="3584"/>
    <cellStyle name="Porcentual 17 2" xfId="3585"/>
    <cellStyle name="Porcentual 2" xfId="3586"/>
    <cellStyle name="Porcentual 2 10" xfId="3587"/>
    <cellStyle name="Porcentual 2 11" xfId="3588"/>
    <cellStyle name="Porcentual 2 12" xfId="3589"/>
    <cellStyle name="Porcentual 2 13" xfId="3590"/>
    <cellStyle name="Porcentual 2 14" xfId="3591"/>
    <cellStyle name="Porcentual 2 15" xfId="3592"/>
    <cellStyle name="Porcentual 2 16" xfId="3593"/>
    <cellStyle name="Porcentual 2 17" xfId="3594"/>
    <cellStyle name="Porcentual 2 18" xfId="3595"/>
    <cellStyle name="Porcentual 2 19" xfId="3596"/>
    <cellStyle name="Porcentual 2 2" xfId="3597"/>
    <cellStyle name="Porcentual 2 20" xfId="3598"/>
    <cellStyle name="Porcentual 2 21" xfId="3599"/>
    <cellStyle name="Porcentual 2 22" xfId="3600"/>
    <cellStyle name="Porcentual 2 23" xfId="3601"/>
    <cellStyle name="Porcentual 2 3" xfId="3602"/>
    <cellStyle name="Porcentual 2 3 2" xfId="3603"/>
    <cellStyle name="Porcentual 2 3 2 2" xfId="3604"/>
    <cellStyle name="Porcentual 2 3 3" xfId="3605"/>
    <cellStyle name="Porcentual 2 4" xfId="3606"/>
    <cellStyle name="Porcentual 2 5" xfId="3607"/>
    <cellStyle name="Porcentual 2 6" xfId="3608"/>
    <cellStyle name="Porcentual 2 7" xfId="3609"/>
    <cellStyle name="Porcentual 2 8" xfId="3610"/>
    <cellStyle name="Porcentual 2 9" xfId="3611"/>
    <cellStyle name="Porcentual 3" xfId="3612"/>
    <cellStyle name="Porcentual 3 2" xfId="3613"/>
    <cellStyle name="Porcentual 3 2 2" xfId="3614"/>
    <cellStyle name="Porcentual 4" xfId="3615"/>
    <cellStyle name="Porcentual 5" xfId="3616"/>
    <cellStyle name="Porcentual 6" xfId="3617"/>
    <cellStyle name="Porcentual 7" xfId="3618"/>
    <cellStyle name="Porcentual 8" xfId="3619"/>
    <cellStyle name="Porcentual 8 2" xfId="3620"/>
    <cellStyle name="Porcentual 8 2 2" xfId="3621"/>
    <cellStyle name="Porcentual 8 3" xfId="3622"/>
    <cellStyle name="Porcentual 9" xfId="3623"/>
    <cellStyle name="PSChar" xfId="3624"/>
    <cellStyle name="PSDate" xfId="3625"/>
    <cellStyle name="PSDec" xfId="3626"/>
    <cellStyle name="PSHeading" xfId="3627"/>
    <cellStyle name="PSInt" xfId="3628"/>
    <cellStyle name="PSSpacer" xfId="3629"/>
    <cellStyle name="Salida 10" xfId="3630"/>
    <cellStyle name="Salida 11" xfId="3631"/>
    <cellStyle name="Salida 12" xfId="3632"/>
    <cellStyle name="Salida 13" xfId="3633"/>
    <cellStyle name="Salida 14" xfId="3634"/>
    <cellStyle name="Salida 15" xfId="3635"/>
    <cellStyle name="Salida 16" xfId="3636"/>
    <cellStyle name="Salida 17" xfId="3637"/>
    <cellStyle name="Salida 18" xfId="3638"/>
    <cellStyle name="Salida 19" xfId="3639"/>
    <cellStyle name="Salida 2" xfId="3640"/>
    <cellStyle name="Salida 2 10" xfId="3641"/>
    <cellStyle name="Salida 2 11" xfId="3642"/>
    <cellStyle name="Salida 2 12" xfId="3643"/>
    <cellStyle name="Salida 2 13" xfId="3644"/>
    <cellStyle name="Salida 2 14" xfId="3645"/>
    <cellStyle name="Salida 2 15" xfId="3646"/>
    <cellStyle name="Salida 2 16" xfId="3647"/>
    <cellStyle name="Salida 2 17" xfId="3648"/>
    <cellStyle name="Salida 2 18" xfId="3649"/>
    <cellStyle name="Salida 2 19" xfId="3650"/>
    <cellStyle name="Salida 2 2" xfId="3651"/>
    <cellStyle name="Salida 2 20" xfId="3652"/>
    <cellStyle name="Salida 2 21" xfId="3653"/>
    <cellStyle name="Salida 2 3" xfId="3654"/>
    <cellStyle name="Salida 2 4" xfId="3655"/>
    <cellStyle name="Salida 2 5" xfId="3656"/>
    <cellStyle name="Salida 2 6" xfId="3657"/>
    <cellStyle name="Salida 2 7" xfId="3658"/>
    <cellStyle name="Salida 2 8" xfId="3659"/>
    <cellStyle name="Salida 2 9" xfId="3660"/>
    <cellStyle name="Salida 20" xfId="3661"/>
    <cellStyle name="Salida 21" xfId="3662"/>
    <cellStyle name="Salida 3" xfId="3663"/>
    <cellStyle name="Salida 4" xfId="3664"/>
    <cellStyle name="Salida 5" xfId="3665"/>
    <cellStyle name="Salida 6" xfId="3666"/>
    <cellStyle name="Salida 7" xfId="3667"/>
    <cellStyle name="Salida 8" xfId="3668"/>
    <cellStyle name="Salida 9" xfId="3669"/>
    <cellStyle name="Sección 1" xfId="3670"/>
    <cellStyle name="Separador de milhares [0]_DesabA1" xfId="3671"/>
    <cellStyle name="Separador de milhares_Ajuste - Investimentos - Incentivo Fiscal" xfId="3672"/>
    <cellStyle name="Suma" xfId="3673"/>
    <cellStyle name="TAB_1" xfId="3674"/>
    <cellStyle name="taples Plaza" xfId="3675"/>
    <cellStyle name="Tekst objaśnienia" xfId="3676"/>
    <cellStyle name="Tekst ostrzeżenia" xfId="3677"/>
    <cellStyle name="Texto de advertencia 10" xfId="3678"/>
    <cellStyle name="Texto de advertencia 11" xfId="3679"/>
    <cellStyle name="Texto de advertencia 12" xfId="3680"/>
    <cellStyle name="Texto de advertencia 13" xfId="3681"/>
    <cellStyle name="Texto de advertencia 14" xfId="3682"/>
    <cellStyle name="Texto de advertencia 15" xfId="3683"/>
    <cellStyle name="Texto de advertencia 16" xfId="3684"/>
    <cellStyle name="Texto de advertencia 17" xfId="3685"/>
    <cellStyle name="Texto de advertencia 18" xfId="3686"/>
    <cellStyle name="Texto de advertencia 19" xfId="3687"/>
    <cellStyle name="Texto de advertencia 2" xfId="3688"/>
    <cellStyle name="Texto de advertencia 2 10" xfId="3689"/>
    <cellStyle name="Texto de advertencia 2 11" xfId="3690"/>
    <cellStyle name="Texto de advertencia 2 12" xfId="3691"/>
    <cellStyle name="Texto de advertencia 2 13" xfId="3692"/>
    <cellStyle name="Texto de advertencia 2 14" xfId="3693"/>
    <cellStyle name="Texto de advertencia 2 15" xfId="3694"/>
    <cellStyle name="Texto de advertencia 2 16" xfId="3695"/>
    <cellStyle name="Texto de advertencia 2 17" xfId="3696"/>
    <cellStyle name="Texto de advertencia 2 18" xfId="3697"/>
    <cellStyle name="Texto de advertencia 2 19" xfId="3698"/>
    <cellStyle name="Texto de advertencia 2 2" xfId="3699"/>
    <cellStyle name="Texto de advertencia 2 20" xfId="3700"/>
    <cellStyle name="Texto de advertencia 2 21" xfId="3701"/>
    <cellStyle name="Texto de advertencia 2 3" xfId="3702"/>
    <cellStyle name="Texto de advertencia 2 4" xfId="3703"/>
    <cellStyle name="Texto de advertencia 2 5" xfId="3704"/>
    <cellStyle name="Texto de advertencia 2 6" xfId="3705"/>
    <cellStyle name="Texto de advertencia 2 7" xfId="3706"/>
    <cellStyle name="Texto de advertencia 2 8" xfId="3707"/>
    <cellStyle name="Texto de advertencia 2 9" xfId="3708"/>
    <cellStyle name="Texto de advertencia 20" xfId="3709"/>
    <cellStyle name="Texto de advertencia 21" xfId="3710"/>
    <cellStyle name="Texto de advertencia 3" xfId="3711"/>
    <cellStyle name="Texto de advertencia 4" xfId="3712"/>
    <cellStyle name="Texto de advertencia 5" xfId="3713"/>
    <cellStyle name="Texto de advertencia 6" xfId="3714"/>
    <cellStyle name="Texto de advertencia 7" xfId="3715"/>
    <cellStyle name="Texto de advertencia 8" xfId="3716"/>
    <cellStyle name="Texto de advertencia 9" xfId="3717"/>
    <cellStyle name="Texto explicativo 10" xfId="3718"/>
    <cellStyle name="Texto explicativo 11" xfId="3719"/>
    <cellStyle name="Texto explicativo 12" xfId="3720"/>
    <cellStyle name="Texto explicativo 13" xfId="3721"/>
    <cellStyle name="Texto explicativo 14" xfId="3722"/>
    <cellStyle name="Texto explicativo 15" xfId="3723"/>
    <cellStyle name="Texto explicativo 16" xfId="3724"/>
    <cellStyle name="Texto explicativo 17" xfId="3725"/>
    <cellStyle name="Texto explicativo 18" xfId="3726"/>
    <cellStyle name="Texto explicativo 19" xfId="3727"/>
    <cellStyle name="Texto explicativo 2" xfId="3728"/>
    <cellStyle name="Texto explicativo 2 10" xfId="3729"/>
    <cellStyle name="Texto explicativo 2 11" xfId="3730"/>
    <cellStyle name="Texto explicativo 2 12" xfId="3731"/>
    <cellStyle name="Texto explicativo 2 13" xfId="3732"/>
    <cellStyle name="Texto explicativo 2 14" xfId="3733"/>
    <cellStyle name="Texto explicativo 2 15" xfId="3734"/>
    <cellStyle name="Texto explicativo 2 16" xfId="3735"/>
    <cellStyle name="Texto explicativo 2 17" xfId="3736"/>
    <cellStyle name="Texto explicativo 2 18" xfId="3737"/>
    <cellStyle name="Texto explicativo 2 19" xfId="3738"/>
    <cellStyle name="Texto explicativo 2 2" xfId="3739"/>
    <cellStyle name="Texto explicativo 2 20" xfId="3740"/>
    <cellStyle name="Texto explicativo 2 21" xfId="3741"/>
    <cellStyle name="Texto explicativo 2 3" xfId="3742"/>
    <cellStyle name="Texto explicativo 2 4" xfId="3743"/>
    <cellStyle name="Texto explicativo 2 5" xfId="3744"/>
    <cellStyle name="Texto explicativo 2 6" xfId="3745"/>
    <cellStyle name="Texto explicativo 2 7" xfId="3746"/>
    <cellStyle name="Texto explicativo 2 8" xfId="3747"/>
    <cellStyle name="Texto explicativo 2 9" xfId="3748"/>
    <cellStyle name="Texto explicativo 20" xfId="3749"/>
    <cellStyle name="Texto explicativo 21" xfId="3750"/>
    <cellStyle name="Texto explicativo 3" xfId="3751"/>
    <cellStyle name="Texto explicativo 4" xfId="3752"/>
    <cellStyle name="Texto explicativo 5" xfId="3753"/>
    <cellStyle name="Texto explicativo 6" xfId="3754"/>
    <cellStyle name="Texto explicativo 7" xfId="3755"/>
    <cellStyle name="Texto explicativo 8" xfId="3756"/>
    <cellStyle name="Texto explicativo 9" xfId="3757"/>
    <cellStyle name="Tickmark" xfId="3758"/>
    <cellStyle name="Title" xfId="3759"/>
    <cellStyle name="Título 1 10" xfId="3760"/>
    <cellStyle name="Título 1 11" xfId="3761"/>
    <cellStyle name="Título 1 12" xfId="3762"/>
    <cellStyle name="Título 1 13" xfId="3763"/>
    <cellStyle name="Título 1 14" xfId="3764"/>
    <cellStyle name="Título 1 15" xfId="3765"/>
    <cellStyle name="Título 1 16" xfId="3766"/>
    <cellStyle name="Título 1 17" xfId="3767"/>
    <cellStyle name="Título 1 18" xfId="3768"/>
    <cellStyle name="Título 1 19" xfId="3769"/>
    <cellStyle name="Título 1 2" xfId="3770"/>
    <cellStyle name="Título 1 2 10" xfId="3771"/>
    <cellStyle name="Título 1 2 11" xfId="3772"/>
    <cellStyle name="Título 1 2 12" xfId="3773"/>
    <cellStyle name="Título 1 2 13" xfId="3774"/>
    <cellStyle name="Título 1 2 14" xfId="3775"/>
    <cellStyle name="Título 1 2 15" xfId="3776"/>
    <cellStyle name="Título 1 2 16" xfId="3777"/>
    <cellStyle name="Título 1 2 17" xfId="3778"/>
    <cellStyle name="Título 1 2 18" xfId="3779"/>
    <cellStyle name="Título 1 2 19" xfId="3780"/>
    <cellStyle name="Título 1 2 2" xfId="3781"/>
    <cellStyle name="Título 1 2 20" xfId="3782"/>
    <cellStyle name="Título 1 2 21" xfId="3783"/>
    <cellStyle name="Título 1 2 3" xfId="3784"/>
    <cellStyle name="Título 1 2 4" xfId="3785"/>
    <cellStyle name="Título 1 2 5" xfId="3786"/>
    <cellStyle name="Título 1 2 6" xfId="3787"/>
    <cellStyle name="Título 1 2 7" xfId="3788"/>
    <cellStyle name="Título 1 2 8" xfId="3789"/>
    <cellStyle name="Título 1 2 9" xfId="3790"/>
    <cellStyle name="Título 1 20" xfId="3791"/>
    <cellStyle name="Título 1 21" xfId="3792"/>
    <cellStyle name="Título 1 3" xfId="3793"/>
    <cellStyle name="Título 1 4" xfId="3794"/>
    <cellStyle name="Título 1 5" xfId="3795"/>
    <cellStyle name="Título 1 6" xfId="3796"/>
    <cellStyle name="Título 1 7" xfId="3797"/>
    <cellStyle name="Título 1 8" xfId="3798"/>
    <cellStyle name="Título 1 9" xfId="3799"/>
    <cellStyle name="Título 10" xfId="3800"/>
    <cellStyle name="Título 11" xfId="3801"/>
    <cellStyle name="Título 12" xfId="3802"/>
    <cellStyle name="Título 13" xfId="3803"/>
    <cellStyle name="Título 14" xfId="3804"/>
    <cellStyle name="Título 15" xfId="3805"/>
    <cellStyle name="Título 16" xfId="3806"/>
    <cellStyle name="Título 17" xfId="3807"/>
    <cellStyle name="Título 18" xfId="3808"/>
    <cellStyle name="Título 19" xfId="3809"/>
    <cellStyle name="Título 2 10" xfId="3810"/>
    <cellStyle name="Título 2 11" xfId="3811"/>
    <cellStyle name="Título 2 12" xfId="3812"/>
    <cellStyle name="Título 2 13" xfId="3813"/>
    <cellStyle name="Título 2 14" xfId="3814"/>
    <cellStyle name="Título 2 15" xfId="3815"/>
    <cellStyle name="Título 2 16" xfId="3816"/>
    <cellStyle name="Título 2 17" xfId="3817"/>
    <cellStyle name="Título 2 18" xfId="3818"/>
    <cellStyle name="Título 2 19" xfId="3819"/>
    <cellStyle name="Título 2 2" xfId="3820"/>
    <cellStyle name="Título 2 2 10" xfId="3821"/>
    <cellStyle name="Título 2 2 11" xfId="3822"/>
    <cellStyle name="Título 2 2 12" xfId="3823"/>
    <cellStyle name="Título 2 2 13" xfId="3824"/>
    <cellStyle name="Título 2 2 14" xfId="3825"/>
    <cellStyle name="Título 2 2 15" xfId="3826"/>
    <cellStyle name="Título 2 2 16" xfId="3827"/>
    <cellStyle name="Título 2 2 17" xfId="3828"/>
    <cellStyle name="Título 2 2 18" xfId="3829"/>
    <cellStyle name="Título 2 2 19" xfId="3830"/>
    <cellStyle name="Título 2 2 2" xfId="3831"/>
    <cellStyle name="Título 2 2 20" xfId="3832"/>
    <cellStyle name="Título 2 2 21" xfId="3833"/>
    <cellStyle name="Título 2 2 3" xfId="3834"/>
    <cellStyle name="Título 2 2 4" xfId="3835"/>
    <cellStyle name="Título 2 2 5" xfId="3836"/>
    <cellStyle name="Título 2 2 6" xfId="3837"/>
    <cellStyle name="Título 2 2 7" xfId="3838"/>
    <cellStyle name="Título 2 2 8" xfId="3839"/>
    <cellStyle name="Título 2 2 9" xfId="3840"/>
    <cellStyle name="Título 2 20" xfId="3841"/>
    <cellStyle name="Título 2 21" xfId="3842"/>
    <cellStyle name="Título 2 3" xfId="3843"/>
    <cellStyle name="Título 2 4" xfId="3844"/>
    <cellStyle name="Título 2 5" xfId="3845"/>
    <cellStyle name="Título 2 6" xfId="3846"/>
    <cellStyle name="Título 2 7" xfId="3847"/>
    <cellStyle name="Título 2 8" xfId="3848"/>
    <cellStyle name="Título 2 9" xfId="3849"/>
    <cellStyle name="Título 20" xfId="3850"/>
    <cellStyle name="Título 21" xfId="3851"/>
    <cellStyle name="Título 22" xfId="3852"/>
    <cellStyle name="Título 23" xfId="3853"/>
    <cellStyle name="Título 3 10" xfId="3854"/>
    <cellStyle name="Título 3 11" xfId="3855"/>
    <cellStyle name="Título 3 12" xfId="3856"/>
    <cellStyle name="Título 3 13" xfId="3857"/>
    <cellStyle name="Título 3 14" xfId="3858"/>
    <cellStyle name="Título 3 15" xfId="3859"/>
    <cellStyle name="Título 3 16" xfId="3860"/>
    <cellStyle name="Título 3 17" xfId="3861"/>
    <cellStyle name="Título 3 18" xfId="3862"/>
    <cellStyle name="Título 3 19" xfId="3863"/>
    <cellStyle name="Título 3 2" xfId="3864"/>
    <cellStyle name="Título 3 2 10" xfId="3865"/>
    <cellStyle name="Título 3 2 11" xfId="3866"/>
    <cellStyle name="Título 3 2 12" xfId="3867"/>
    <cellStyle name="Título 3 2 13" xfId="3868"/>
    <cellStyle name="Título 3 2 14" xfId="3869"/>
    <cellStyle name="Título 3 2 15" xfId="3870"/>
    <cellStyle name="Título 3 2 16" xfId="3871"/>
    <cellStyle name="Título 3 2 17" xfId="3872"/>
    <cellStyle name="Título 3 2 18" xfId="3873"/>
    <cellStyle name="Título 3 2 19" xfId="3874"/>
    <cellStyle name="Título 3 2 2" xfId="3875"/>
    <cellStyle name="Título 3 2 20" xfId="3876"/>
    <cellStyle name="Título 3 2 21" xfId="3877"/>
    <cellStyle name="Título 3 2 3" xfId="3878"/>
    <cellStyle name="Título 3 2 4" xfId="3879"/>
    <cellStyle name="Título 3 2 5" xfId="3880"/>
    <cellStyle name="Título 3 2 6" xfId="3881"/>
    <cellStyle name="Título 3 2 7" xfId="3882"/>
    <cellStyle name="Título 3 2 8" xfId="3883"/>
    <cellStyle name="Título 3 2 9" xfId="3884"/>
    <cellStyle name="Título 3 20" xfId="3885"/>
    <cellStyle name="Título 3 21" xfId="3886"/>
    <cellStyle name="Título 3 3" xfId="3887"/>
    <cellStyle name="Título 3 4" xfId="3888"/>
    <cellStyle name="Título 3 5" xfId="3889"/>
    <cellStyle name="Título 3 6" xfId="3890"/>
    <cellStyle name="Título 3 7" xfId="3891"/>
    <cellStyle name="Título 3 8" xfId="3892"/>
    <cellStyle name="Título 3 9" xfId="3893"/>
    <cellStyle name="Título 4" xfId="3894"/>
    <cellStyle name="Título 4 10" xfId="3895"/>
    <cellStyle name="Título 4 11" xfId="3896"/>
    <cellStyle name="Título 4 12" xfId="3897"/>
    <cellStyle name="Título 4 13" xfId="3898"/>
    <cellStyle name="Título 4 14" xfId="3899"/>
    <cellStyle name="Título 4 15" xfId="3900"/>
    <cellStyle name="Título 4 16" xfId="3901"/>
    <cellStyle name="Título 4 17" xfId="3902"/>
    <cellStyle name="Título 4 18" xfId="3903"/>
    <cellStyle name="Título 4 19" xfId="3904"/>
    <cellStyle name="Título 4 2" xfId="3905"/>
    <cellStyle name="Título 4 20" xfId="3906"/>
    <cellStyle name="Título 4 21" xfId="3907"/>
    <cellStyle name="Título 4 3" xfId="3908"/>
    <cellStyle name="Título 4 4" xfId="3909"/>
    <cellStyle name="Título 4 5" xfId="3910"/>
    <cellStyle name="Título 4 6" xfId="3911"/>
    <cellStyle name="Título 4 7" xfId="3912"/>
    <cellStyle name="Título 4 8" xfId="3913"/>
    <cellStyle name="Título 4 9" xfId="3914"/>
    <cellStyle name="Título 5" xfId="3915"/>
    <cellStyle name="Título 6" xfId="3916"/>
    <cellStyle name="Título 7" xfId="3917"/>
    <cellStyle name="Título 8" xfId="3918"/>
    <cellStyle name="Título 9" xfId="3919"/>
    <cellStyle name="Total 10" xfId="3920"/>
    <cellStyle name="Total 11" xfId="3921"/>
    <cellStyle name="Total 12" xfId="3922"/>
    <cellStyle name="Total 13" xfId="3923"/>
    <cellStyle name="Total 14" xfId="3924"/>
    <cellStyle name="Total 15" xfId="3925"/>
    <cellStyle name="Total 16" xfId="3926"/>
    <cellStyle name="Total 17" xfId="3927"/>
    <cellStyle name="Total 18" xfId="3928"/>
    <cellStyle name="Total 19" xfId="3929"/>
    <cellStyle name="Total 2" xfId="3930"/>
    <cellStyle name="Total 2 10" xfId="3931"/>
    <cellStyle name="Total 2 11" xfId="3932"/>
    <cellStyle name="Total 2 12" xfId="3933"/>
    <cellStyle name="Total 2 13" xfId="3934"/>
    <cellStyle name="Total 2 14" xfId="3935"/>
    <cellStyle name="Total 2 15" xfId="3936"/>
    <cellStyle name="Total 2 16" xfId="3937"/>
    <cellStyle name="Total 2 17" xfId="3938"/>
    <cellStyle name="Total 2 18" xfId="3939"/>
    <cellStyle name="Total 2 19" xfId="3940"/>
    <cellStyle name="Total 2 2" xfId="3941"/>
    <cellStyle name="Total 2 20" xfId="3942"/>
    <cellStyle name="Total 2 21" xfId="3943"/>
    <cellStyle name="Total 2 3" xfId="3944"/>
    <cellStyle name="Total 2 4" xfId="3945"/>
    <cellStyle name="Total 2 5" xfId="3946"/>
    <cellStyle name="Total 2 6" xfId="3947"/>
    <cellStyle name="Total 2 7" xfId="3948"/>
    <cellStyle name="Total 2 8" xfId="3949"/>
    <cellStyle name="Total 2 9" xfId="3950"/>
    <cellStyle name="Total 20" xfId="3951"/>
    <cellStyle name="Total 21" xfId="3952"/>
    <cellStyle name="Total 3" xfId="3953"/>
    <cellStyle name="Total 4" xfId="3954"/>
    <cellStyle name="Total 5" xfId="3955"/>
    <cellStyle name="Total 6" xfId="3956"/>
    <cellStyle name="Total 7" xfId="3957"/>
    <cellStyle name="Total 8" xfId="3958"/>
    <cellStyle name="Total 9" xfId="3959"/>
    <cellStyle name="Total1 - Style1" xfId="3960"/>
    <cellStyle name="Tytuł" xfId="3961"/>
    <cellStyle name="Uwaga" xfId="3962"/>
    <cellStyle name="Valuta (0)_%conferiteDEBITO" xfId="3963"/>
    <cellStyle name="Währung" xfId="3964"/>
    <cellStyle name="Warning Text" xfId="3965"/>
    <cellStyle name="WhitePattern1" xfId="3966"/>
    <cellStyle name="XComma" xfId="3967"/>
    <cellStyle name="XComma 0.0" xfId="3968"/>
    <cellStyle name="XComma 0.00" xfId="3969"/>
    <cellStyle name="XComma 0.000" xfId="3970"/>
    <cellStyle name="XComma_Worksheet in J: MARKETING Templates D&amp;T Templates Noviembre 2002 Informe Modelo" xfId="3971"/>
    <cellStyle name="XCurrency" xfId="3972"/>
    <cellStyle name="XCurrency 0.0" xfId="3973"/>
    <cellStyle name="XCurrency 0.00" xfId="3974"/>
    <cellStyle name="XCurrency 0.000" xfId="3975"/>
    <cellStyle name="XCurrency_Worksheet in J: MARKETING Templates D&amp;T Templates Noviembre 2002 Informe Modelo" xfId="3976"/>
    <cellStyle name="Złe" xfId="397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2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externalLink" Target="externalLinks/externalLink11.xml"/><Relationship Id="rId29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24" Type="http://schemas.openxmlformats.org/officeDocument/2006/relationships/externalLink" Target="externalLinks/externalLink1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openxmlformats.org/officeDocument/2006/relationships/externalLink" Target="externalLinks/externalLink14.xml"/><Relationship Id="rId28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externalLink" Target="externalLinks/externalLink13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64</xdr:row>
      <xdr:rowOff>76200</xdr:rowOff>
    </xdr:from>
    <xdr:to>
      <xdr:col>2</xdr:col>
      <xdr:colOff>130965</xdr:colOff>
      <xdr:row>84</xdr:row>
      <xdr:rowOff>94734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6C7657C-79D9-5297-20A1-B01F73AD80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2553950"/>
          <a:ext cx="5706265" cy="4361934"/>
        </a:xfrm>
        <a:prstGeom prst="rect">
          <a:avLst/>
        </a:prstGeom>
      </xdr:spPr>
    </xdr:pic>
    <xdr:clientData/>
  </xdr:twoCellAnchor>
  <xdr:twoCellAnchor editAs="oneCell">
    <xdr:from>
      <xdr:col>2</xdr:col>
      <xdr:colOff>400050</xdr:colOff>
      <xdr:row>63</xdr:row>
      <xdr:rowOff>114300</xdr:rowOff>
    </xdr:from>
    <xdr:to>
      <xdr:col>8</xdr:col>
      <xdr:colOff>656550</xdr:colOff>
      <xdr:row>85</xdr:row>
      <xdr:rowOff>85205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4F8F2C4-EDC9-2A4A-DB82-8E8E340367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75350" y="12395200"/>
          <a:ext cx="5628600" cy="473340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XLCONSOL\FLUJOEF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0118795002000\Anexos%2006\Julio\Anexos_mayo__2006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7300020\balances2001\WINDOWS\TEMP\Mis%20documentos\WINDOWS\TEMP\Larga%20Distanci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720023\balances2000\WINDOWS\TEMP\Larga%20Distancia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01\cxp\backup1\Hugo\ANEXOS2006\Anexos%20Diciembre-2006\Anexo%20mejoradiciembre2006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0118795002000\BALANCES%202004\PETETES\BALANCES%202002\BALANCEPETETE\BALANCES2001\Mis%20documentos\WINDOWS\TEMP\Larga%20Distancia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F2909_cgral/CGRAL/Estados%20Financieros/BALANCES%202022/03_Balance%20Marzo%202022_nuevo%20Editd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Advisory\Forecasts%20for%20Telecoms%20and%20Mobile\2001_4q\Forecasts\Mobile\AME\Ctywkbks\Ame\Saf9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01\cxp\Documents%20and%20Settings\glorgong\Mis%20documentos\COPIAS\NotasConsolidadas2007\Soportes\12%20Balance%20DiciembreV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01\cxp\GMG\CGRAL%20GMG\ESTADOS%20FINANCIEROS\BALANCES%202006\E.F.%20CON%20ANEXOS\12%20EFAnexosDic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ogcaacon003\PUBLICA\william\CARA991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7300020\balances2001\WINDOWS\TEMP\PRESENTACION\DICIEMBRE20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0138731002000\Hugo\Archivos%202003\Vicep%20Fciera\Anexos%202003\Diciembre%202003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xj50602g9\cuentas%20por%20cobrar\Coordinaci&#243;n%20Contabilidad\Anexos%2005\OCTUBRE\Anexos%20OCTUBR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01\cxp\backup1\Hugo\ANEXOS2006\Anexos%20Diciembre-2006\AnexoTerrenos%20Diciembre%20200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LUJO"/>
      <sheetName val="analisis cambios"/>
      <sheetName val="ESTCAMBSET"/>
      <sheetName val="EFSV0995 "/>
      <sheetName val="bce ingles"/>
      <sheetName val="GYP0695"/>
      <sheetName val="EFSV0695"/>
      <sheetName val="ANEXO 44"/>
      <sheetName val="analisis_cambios"/>
      <sheetName val="FLUJOEF"/>
      <sheetName val="Entida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_Efectivo"/>
      <sheetName val="01_ Disponible"/>
      <sheetName val="02_Inversiones_Temporales "/>
      <sheetName val="27_inversiones"/>
      <sheetName val="38_Cuentas  orden deudoras "/>
      <sheetName val="39_Cuentas orden acreedoraS"/>
      <sheetName val="61_Gasto "/>
      <sheetName val="61_Costo"/>
      <sheetName val="64_Ingresos no operac compara"/>
      <sheetName val="65_Gastos no operacionale compa"/>
      <sheetName val="02_Inversiones_Temporales ce"/>
      <sheetName val="27_inversiones ce"/>
      <sheetName val="38_Cuentas  orden deudoras  ce "/>
      <sheetName val="39_Cuentas orden acreedoras CE"/>
      <sheetName val="61_Gasto  "/>
      <sheetName val="61_Costo "/>
      <sheetName val="64_Ingr.no.op informe ejecutivo"/>
      <sheetName val="65_Gastos no operacionales Comp"/>
      <sheetName val="62_Cargos de acceso CE"/>
      <sheetName val="63_Otros_Costos_Gasto CE"/>
      <sheetName val="64_Ingresos no operac okr"/>
      <sheetName val="65_Gastos no operacionale okr  "/>
      <sheetName val="64_Ingresos no operac ce"/>
      <sheetName val="65_Gastos no operacionale CE"/>
      <sheetName val="01__Disponible"/>
      <sheetName val="02_Inversiones_Temporales_"/>
      <sheetName val="38_Cuentas__orden_deudoras_"/>
      <sheetName val="39_Cuentas_orden_acreedoraS"/>
      <sheetName val="61_Gasto_"/>
      <sheetName val="64_Ingresos_no_operac_compara"/>
      <sheetName val="65_Gastos_no_operacionale_compa"/>
      <sheetName val="02_Inversiones_Temporales_ce"/>
      <sheetName val="27_inversiones_ce"/>
      <sheetName val="38_Cuentas__orden_deudoras__ce_"/>
      <sheetName val="39_Cuentas_orden_acreedoras_CE"/>
      <sheetName val="61_Gasto__"/>
      <sheetName val="61_Costo_"/>
      <sheetName val="64_Ingr_no_op_informe_ejecutivo"/>
      <sheetName val="65_Gastos_no_operacionales_Comp"/>
      <sheetName val="62_Cargos_de_acceso_CE"/>
      <sheetName val="63_Otros_Costos_Gasto_CE"/>
      <sheetName val="64_Ingresos_no_operac_okr"/>
      <sheetName val="65_Gastos_no_operacionale_okr__"/>
      <sheetName val="64_Ingresos_no_operac_ce"/>
      <sheetName val="65_Gastos_no_operacionale_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os"/>
      <sheetName val="01_Efectivo"/>
      <sheetName val="PCCOOCTDISC"/>
      <sheetName val="PCCODISC05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os"/>
      <sheetName val="01_Efectivo"/>
      <sheetName val="PCCOOCTDISC"/>
      <sheetName val="PCCODISC05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34"/>
      <sheetName val="Hoja1"/>
    </sheetNames>
    <sheetDataSet>
      <sheetData sheetId="0"/>
      <sheetData sheetId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os"/>
    </sheetNames>
    <sheetDataSet>
      <sheetData sheetId="0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CCODICIEMBRE"/>
      <sheetName val="PCCODISC05"/>
      <sheetName val="balapertura"/>
      <sheetName val="3_PYGDICDISCRIMINADOACUM"/>
      <sheetName val="R_Integral_Naturaleza Sivicof"/>
      <sheetName val="Presentación_baldiscok"/>
      <sheetName val="baldiscok PUC CGN 2017"/>
      <sheetName val="baldiscok PUC CGN 2017_MILL"/>
      <sheetName val="presentacion x trimestre"/>
      <sheetName val="baldiscok PUC VIEJO"/>
      <sheetName val="baldiscok_Mill"/>
      <sheetName val="BALANCEETBRESUMIDO"/>
      <sheetName val="INDICADORES nota"/>
      <sheetName val="PYG Present NIIF_Naturaleza"/>
      <sheetName val="Graficas"/>
      <sheetName val="Graficas 2014"/>
      <sheetName val="INDICADOR CRT"/>
      <sheetName val="Cartera"/>
      <sheetName val="Flujo efectivo-pres"/>
      <sheetName val="OFICINA ACCIONISTAS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41">
          <cell r="BL41">
            <v>2176.44</v>
          </cell>
        </row>
        <row r="50">
          <cell r="BL50">
            <v>1570451.023</v>
          </cell>
        </row>
        <row r="51">
          <cell r="BL51">
            <v>-652170.86</v>
          </cell>
        </row>
        <row r="52">
          <cell r="BL52">
            <v>116067.125</v>
          </cell>
        </row>
        <row r="54">
          <cell r="BL54">
            <v>3226.1590000000001</v>
          </cell>
          <cell r="BM54">
            <v>17191.379000000001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"/>
      <sheetName val="****"/>
      <sheetName val="Assumptions"/>
      <sheetName val="WBAssumptions"/>
      <sheetName val="WBFinal"/>
      <sheetName val="WBDeliverable"/>
      <sheetName val=" eStrategies"/>
      <sheetName val="Consumer Revenues"/>
      <sheetName val="Business Revenues"/>
      <sheetName val="Accounts"/>
      <sheetName val="Telecom Assumptions"/>
      <sheetName val="OrphanLinks"/>
      <sheetName val="Wireless Revenues"/>
      <sheetName val="MobileIB"/>
      <sheetName val="Wireless"/>
      <sheetName val="GlobalOne"/>
      <sheetName val="SAFIB"/>
      <sheetName val="Telkom"/>
      <sheetName val="MTN"/>
      <sheetName val="Paging Operators"/>
      <sheetName val="Vodacom"/>
      <sheetName val="Telecom Revenues "/>
      <sheetName val="W_Exhibits"/>
      <sheetName val="Telecoms"/>
      <sheetName val="AccessIB"/>
      <sheetName val="TelecomIB"/>
      <sheetName val="Internet"/>
      <sheetName val="DataIB"/>
      <sheetName val="Exhibits"/>
      <sheetName val="Quest"/>
      <sheetName val="targets"/>
      <sheetName val="%Growth"/>
      <sheetName val="_eStrategies"/>
      <sheetName val="Consumer_Revenues"/>
      <sheetName val="Business_Revenues"/>
      <sheetName val="Telecom_Assumptions"/>
      <sheetName val="Wireless_Revenues"/>
      <sheetName val="Paging_Operators"/>
      <sheetName val="Telecom_Revenues_"/>
      <sheetName val="_eStrategies1"/>
      <sheetName val="Consumer_Revenues1"/>
      <sheetName val="Business_Revenues1"/>
      <sheetName val="Telecom_Assumptions1"/>
      <sheetName val="Wireless_Revenues1"/>
      <sheetName val="Paging_Operators1"/>
      <sheetName val="Telecom_Revenues_1"/>
      <sheetName val="Resumen"/>
      <sheetName val="MapInfo_Large"/>
      <sheetName val="Factors"/>
      <sheetName val="Basic_Inputs"/>
      <sheetName val="total_price_list"/>
      <sheetName val="FUs"/>
      <sheetName val="No Borrar"/>
      <sheetName val="Controles"/>
      <sheetName val="List"/>
      <sheetName val="Ctas contables - Centro de Co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YGLDRESUMIDO PRES"/>
      <sheetName val="PYGETBRESUMIDO MILES"/>
      <sheetName val="balresdicrefiscal Comp. a Sep "/>
      <sheetName val="baldiscok Comparado a Sep"/>
      <sheetName val="INGRESOS DETALLADOS"/>
      <sheetName val="PYGDIRESUMIDO"/>
      <sheetName val="PYGDI"/>
      <sheetName val="PYGLD"/>
      <sheetName val="PYGLDRESUMIDO"/>
      <sheetName val="PCCOOCTDISC"/>
      <sheetName val="PYGLOCAL"/>
      <sheetName val="PYGLOCALRESUMIDO"/>
      <sheetName val="4.PYGETBRESUMIDO  PRESENTA"/>
      <sheetName val="balresdicrefiscal"/>
      <sheetName val="hoja de trabajo estado de cambi"/>
      <sheetName val="COSTOS Y GASTOS  PRESENTACION"/>
      <sheetName val="baldiscok"/>
      <sheetName val="PCCODICIEMBRE"/>
      <sheetName val="flujoOCT"/>
      <sheetName val="CAMBIOS DEF "/>
      <sheetName val="cambios patrimonio "/>
      <sheetName val="INDICADOR CRT"/>
      <sheetName val="BALANCEETBRESUMIDO"/>
      <sheetName val="PCCODISC05"/>
      <sheetName val="costos y gastos"/>
      <sheetName val="EBITDA"/>
      <sheetName val="EBITDA MM"/>
      <sheetName val="3.PYGDICDISCRIMINADOACUM"/>
      <sheetName val="4.PYGETBRESUMIDO"/>
      <sheetName val="balenmillones"/>
      <sheetName val="pyg resum"/>
      <sheetName val="INGRESOS "/>
      <sheetName val="Cartera"/>
      <sheetName val="pygresumen"/>
      <sheetName val="Hoja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Balance Gral. Corporativo "/>
      <sheetName val="PyG"/>
      <sheetName val="Cambios Patrimonio"/>
      <sheetName val="Cambios Situacion Financiera"/>
      <sheetName val="Flujo"/>
      <sheetName val="Balance Gral. "/>
      <sheetName val="PYG DICDISCRIMINADO ACUM "/>
      <sheetName val="PYGDI"/>
      <sheetName val="PYGLOCAL"/>
      <sheetName val="PYGLD"/>
      <sheetName val="PCCODICIEMBRE"/>
      <sheetName val="PCCODISC05"/>
      <sheetName val="PCCOOCTDISC"/>
      <sheetName val="hoja de trabajo estado de cambi"/>
      <sheetName val="costos y gastos"/>
      <sheetName val="EBITDA"/>
      <sheetName val="EBITDA MM"/>
      <sheetName val="INDICADOR CRT"/>
      <sheetName val="ANEXO 1"/>
      <sheetName val="ANEXO 2"/>
      <sheetName val="ANEXO 3"/>
      <sheetName val="ANEXO 4"/>
      <sheetName val="ANEXO 5"/>
      <sheetName val="ANEXO 6"/>
      <sheetName val="ANEXO 7"/>
      <sheetName val="ANEXO 8"/>
      <sheetName val="ANEXO 9"/>
      <sheetName val="ANEXO 10"/>
      <sheetName val="ANEXO 11"/>
      <sheetName val="ANEXO 12"/>
      <sheetName val="ANEXO 13"/>
      <sheetName val="ANEXO 14"/>
      <sheetName val="ANEXO 15"/>
      <sheetName val="ANEXO 16"/>
      <sheetName val="ANEXO 17"/>
      <sheetName val="ANEXO 18"/>
      <sheetName val="ANEXO 19"/>
      <sheetName val="ANEXO 20"/>
      <sheetName val="ANEXO 21"/>
      <sheetName val="ANEXO 22"/>
      <sheetName val="ANEXO 23"/>
      <sheetName val="ANEXO 24"/>
      <sheetName val="ANEXO 25"/>
      <sheetName val="ANEXO 26"/>
      <sheetName val="ANEXO 27"/>
      <sheetName val="ANEXO 28"/>
      <sheetName val="ANEXO 29"/>
      <sheetName val="ANEXO 30"/>
      <sheetName val="ANEXO 31"/>
      <sheetName val="ANEXO 32"/>
      <sheetName val="ANEXO 33"/>
      <sheetName val="ANEXO 34"/>
      <sheetName val="ANEXO 35"/>
      <sheetName val="ANEXO 36"/>
      <sheetName val="ANEXO 37"/>
      <sheetName val="ANEXO 38"/>
      <sheetName val="ANEXO 39"/>
      <sheetName val="ANEXO 40"/>
      <sheetName val="ANEXO 41"/>
      <sheetName val="ANEXO 42"/>
      <sheetName val="ANEXO 43"/>
      <sheetName val="ANEXO 44"/>
      <sheetName val="ANEXO 45"/>
      <sheetName val="ANEXO 46"/>
      <sheetName val="ANEXO 47"/>
      <sheetName val="ANEXO 48"/>
      <sheetName val="ANEXO 49"/>
      <sheetName val="ANEXO 50"/>
      <sheetName val="ANEXO 51"/>
      <sheetName val="ANEXO 52"/>
      <sheetName val="ANEXO 53"/>
      <sheetName val="ANEXO 54"/>
      <sheetName val="ANEXO 55"/>
      <sheetName val="ANEXO 56"/>
      <sheetName val="ANEXO 57"/>
      <sheetName val="ANEXO 58"/>
      <sheetName val="ANEXO 59"/>
      <sheetName val="ANEXO 60 GASTO"/>
      <sheetName val="ANEXO 60 COSTO"/>
      <sheetName val="ANEXO 61"/>
      <sheetName val="ANEXO 62"/>
      <sheetName val="ANEXO 63"/>
      <sheetName val="ANEXO 6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AT-96"/>
      <sheetName val="RESULTADOS"/>
      <sheetName val="Hoja1"/>
    </sheetNames>
    <sheetDataSet>
      <sheetData sheetId="0"/>
      <sheetData sheetId="1" refreshError="1">
        <row r="6">
          <cell r="Q6" t="str">
            <v>Acumulado a Diciembre 31</v>
          </cell>
        </row>
        <row r="7">
          <cell r="O7" t="str">
            <v xml:space="preserve">ESTADO DE GANANCIAS Y PERDIDAS </v>
          </cell>
        </row>
        <row r="8">
          <cell r="Q8" t="str">
            <v xml:space="preserve">  1997</v>
          </cell>
          <cell r="R8" t="str">
            <v xml:space="preserve">  1997</v>
          </cell>
        </row>
        <row r="9">
          <cell r="O9" t="str">
            <v>INGRESOS DE OPERACION</v>
          </cell>
        </row>
        <row r="10">
          <cell r="O10" t="str">
            <v xml:space="preserve">  Operacion Internacional -Pasajes</v>
          </cell>
          <cell r="P10" t="str">
            <v xml:space="preserve">  Operacion Internacional -Pasajes</v>
          </cell>
          <cell r="Q10">
            <v>531329.8452039999</v>
          </cell>
          <cell r="R10">
            <v>404521.53204400005</v>
          </cell>
        </row>
        <row r="11">
          <cell r="O11" t="str">
            <v xml:space="preserve">                          -Carga</v>
          </cell>
          <cell r="P11" t="str">
            <v xml:space="preserve">                          -Carga</v>
          </cell>
          <cell r="Q11">
            <v>35331.397698000001</v>
          </cell>
          <cell r="R11">
            <v>31595.174789999997</v>
          </cell>
        </row>
        <row r="12">
          <cell r="O12" t="str">
            <v xml:space="preserve">                          -Correo</v>
          </cell>
          <cell r="P12" t="str">
            <v xml:space="preserve">                          -Correo</v>
          </cell>
          <cell r="Q12">
            <v>13691.488818</v>
          </cell>
          <cell r="R12">
            <v>9825.358107</v>
          </cell>
        </row>
        <row r="13">
          <cell r="O13" t="str">
            <v xml:space="preserve">  Operacion nacional      -Pasajes</v>
          </cell>
          <cell r="P13" t="str">
            <v xml:space="preserve">  Operacion nacional      -Pasajes</v>
          </cell>
          <cell r="Q13">
            <v>335676.62069800001</v>
          </cell>
          <cell r="R13">
            <v>319740.67712799995</v>
          </cell>
        </row>
        <row r="14">
          <cell r="O14" t="str">
            <v xml:space="preserve">                          -Carga</v>
          </cell>
          <cell r="P14" t="str">
            <v xml:space="preserve">                          -Carga</v>
          </cell>
          <cell r="Q14">
            <v>4284.8846910000011</v>
          </cell>
          <cell r="R14">
            <v>4567.9838489999993</v>
          </cell>
        </row>
        <row r="15">
          <cell r="O15" t="str">
            <v xml:space="preserve">                          -Correo</v>
          </cell>
          <cell r="P15" t="str">
            <v xml:space="preserve">                          -Correo</v>
          </cell>
          <cell r="Q15">
            <v>27342.349432000003</v>
          </cell>
          <cell r="R15">
            <v>40441.067771000002</v>
          </cell>
        </row>
        <row r="16">
          <cell r="O16" t="str">
            <v xml:space="preserve">  Ingresos industriales</v>
          </cell>
          <cell r="P16" t="str">
            <v xml:space="preserve">  Ingresos industriales</v>
          </cell>
          <cell r="Q16">
            <v>27692.465111999998</v>
          </cell>
          <cell r="R16">
            <v>27833.449365</v>
          </cell>
        </row>
        <row r="18">
          <cell r="P18" t="str">
            <v xml:space="preserve">  Total Ingresos de operacion</v>
          </cell>
          <cell r="Q18">
            <v>975349.05165299983</v>
          </cell>
          <cell r="R18">
            <v>838525.24305399996</v>
          </cell>
        </row>
        <row r="19">
          <cell r="P19" t="str">
            <v>GASTOS DE OPERACION</v>
          </cell>
        </row>
        <row r="21">
          <cell r="P21" t="str">
            <v xml:space="preserve">  Salarios</v>
          </cell>
          <cell r="Q21">
            <v>48712.014013999993</v>
          </cell>
          <cell r="R21">
            <v>43165.803412349997</v>
          </cell>
        </row>
        <row r="22">
          <cell r="P22" t="str">
            <v xml:space="preserve">  Prestaciones sociales</v>
          </cell>
          <cell r="Q22">
            <v>43926.442260999997</v>
          </cell>
          <cell r="R22">
            <v>32785.576060090003</v>
          </cell>
        </row>
        <row r="23">
          <cell r="P23" t="str">
            <v xml:space="preserve">  Otros gastos del personal</v>
          </cell>
          <cell r="Q23">
            <v>44287.557776000009</v>
          </cell>
          <cell r="R23">
            <v>41562.589788250007</v>
          </cell>
        </row>
        <row r="24">
          <cell r="P24" t="str">
            <v xml:space="preserve">  Pensiones de jubilacion: Pagos</v>
          </cell>
          <cell r="Q24">
            <v>23052.290683000003</v>
          </cell>
          <cell r="R24">
            <v>22851.800026320001</v>
          </cell>
        </row>
        <row r="26">
          <cell r="P26" t="str">
            <v xml:space="preserve">  Subtotal personal</v>
          </cell>
          <cell r="Q26">
            <v>159978.304734</v>
          </cell>
          <cell r="R26">
            <v>140365.76928701001</v>
          </cell>
        </row>
        <row r="27">
          <cell r="P27" t="str">
            <v xml:space="preserve">  Combustibles</v>
          </cell>
          <cell r="Q27">
            <v>101331.21370399999</v>
          </cell>
          <cell r="R27">
            <v>76294.728908849997</v>
          </cell>
        </row>
        <row r="28">
          <cell r="P28" t="str">
            <v xml:space="preserve">  Seguros</v>
          </cell>
          <cell r="Q28">
            <v>13470.919097</v>
          </cell>
          <cell r="R28">
            <v>18850.648043319998</v>
          </cell>
        </row>
        <row r="29">
          <cell r="P29" t="str">
            <v xml:space="preserve">  Arrendamientos de Equipos   </v>
          </cell>
          <cell r="Q29">
            <v>176493.53516127999</v>
          </cell>
          <cell r="R29">
            <v>147442.17485884999</v>
          </cell>
        </row>
        <row r="30">
          <cell r="P30" t="str">
            <v xml:space="preserve">  Comisiones sobre ventas: Nacionales</v>
          </cell>
          <cell r="Q30">
            <v>41870.516184510001</v>
          </cell>
          <cell r="R30">
            <v>39221.056710069999</v>
          </cell>
        </row>
        <row r="31">
          <cell r="P31" t="str">
            <v xml:space="preserve">                           Internacionales</v>
          </cell>
          <cell r="Q31">
            <v>85981.386768490003</v>
          </cell>
          <cell r="R31">
            <v>57185.358389659996</v>
          </cell>
        </row>
        <row r="32">
          <cell r="P32" t="str">
            <v xml:space="preserve">  Mantenimiento General</v>
          </cell>
          <cell r="Q32">
            <v>85739.024304999999</v>
          </cell>
          <cell r="R32">
            <v>67992.068873779892</v>
          </cell>
        </row>
        <row r="33">
          <cell r="P33" t="str">
            <v xml:space="preserve">  Aterrizajes, Facil. aeroport. y comunic.</v>
          </cell>
          <cell r="Q33">
            <v>136161.444044</v>
          </cell>
          <cell r="R33">
            <v>104314.38661845001</v>
          </cell>
        </row>
        <row r="34">
          <cell r="P34" t="str">
            <v xml:space="preserve">  Gastos de ventas</v>
          </cell>
          <cell r="Q34">
            <v>67153.785040320014</v>
          </cell>
          <cell r="R34">
            <v>61258.756472350004</v>
          </cell>
        </row>
        <row r="35">
          <cell r="P35" t="str">
            <v xml:space="preserve">  Servicios a pasajeros</v>
          </cell>
          <cell r="Q35">
            <v>41455.626583999998</v>
          </cell>
          <cell r="R35">
            <v>34639.785137040002</v>
          </cell>
        </row>
        <row r="36">
          <cell r="P36" t="str">
            <v xml:space="preserve">  Impuestos, partic. gob/estampillas y otros</v>
          </cell>
          <cell r="Q36">
            <v>12371.332339780001</v>
          </cell>
          <cell r="R36">
            <v>17361.649106860001</v>
          </cell>
        </row>
        <row r="37">
          <cell r="P37" t="str">
            <v xml:space="preserve">  Gastos administrativos</v>
          </cell>
          <cell r="Q37">
            <v>56328.352494259998</v>
          </cell>
          <cell r="R37">
            <v>56893.19471968001</v>
          </cell>
        </row>
        <row r="38">
          <cell r="P38" t="str">
            <v xml:space="preserve">  Diferencia en cambio Operacional</v>
          </cell>
          <cell r="Q38">
            <v>-18619.340177999999</v>
          </cell>
          <cell r="R38">
            <v>-28285.611587000003</v>
          </cell>
        </row>
        <row r="40">
          <cell r="P40" t="str">
            <v xml:space="preserve">  Total gastos de operacion sin prov. y deprec.</v>
          </cell>
          <cell r="Q40">
            <v>959716.10027863993</v>
          </cell>
          <cell r="R40">
            <v>793533.9655389199</v>
          </cell>
        </row>
        <row r="42">
          <cell r="P42" t="str">
            <v xml:space="preserve">  Resultado Operacional sin prov. y deprec.</v>
          </cell>
          <cell r="Q42">
            <v>15632.951374359895</v>
          </cell>
          <cell r="R42">
            <v>44991.277515080059</v>
          </cell>
        </row>
        <row r="43">
          <cell r="P43" t="str">
            <v>PROVISIONES Y DEPRECIACIONES</v>
          </cell>
        </row>
        <row r="44">
          <cell r="P44" t="str">
            <v xml:space="preserve">  Provision cartera e inventarios</v>
          </cell>
          <cell r="Q44">
            <v>31574.673816000002</v>
          </cell>
          <cell r="R44">
            <v>3085.758765999999</v>
          </cell>
        </row>
        <row r="45">
          <cell r="P45" t="str">
            <v xml:space="preserve">  Depreciaciones y amortizaciones</v>
          </cell>
          <cell r="Q45">
            <v>15138.903664000005</v>
          </cell>
          <cell r="R45">
            <v>26459.068197000001</v>
          </cell>
        </row>
        <row r="47">
          <cell r="P47" t="str">
            <v xml:space="preserve">  Total Provisiones y Depreciaciones.</v>
          </cell>
          <cell r="Q47">
            <v>46713.577480000007</v>
          </cell>
          <cell r="R47">
            <v>29544.826963</v>
          </cell>
        </row>
        <row r="49">
          <cell r="P49" t="str">
            <v xml:space="preserve">  Total Gastos Operacionales</v>
          </cell>
          <cell r="Q49">
            <v>1006429.6777586399</v>
          </cell>
          <cell r="R49">
            <v>823078.7925019199</v>
          </cell>
        </row>
        <row r="51">
          <cell r="P51" t="str">
            <v xml:space="preserve">  Utilidad (perdida) Operacional</v>
          </cell>
          <cell r="Q51">
            <v>-31080.626105640084</v>
          </cell>
          <cell r="R51">
            <v>15446.450552080059</v>
          </cell>
        </row>
        <row r="52">
          <cell r="P52" t="str">
            <v>OTROS INGRESOS</v>
          </cell>
        </row>
        <row r="53">
          <cell r="P53" t="str">
            <v xml:space="preserve">  Intereses y dividendos de filiales</v>
          </cell>
          <cell r="Q53">
            <v>34.511129000000011</v>
          </cell>
          <cell r="R53">
            <v>1438.9179020000001</v>
          </cell>
        </row>
        <row r="54">
          <cell r="P54" t="str">
            <v xml:space="preserve">  Utilidad en vta equipos y Aprovechamientos</v>
          </cell>
          <cell r="Q54">
            <v>51137.851127999995</v>
          </cell>
          <cell r="R54">
            <v>86765.77868800002</v>
          </cell>
        </row>
        <row r="55">
          <cell r="P55" t="str">
            <v xml:space="preserve">  Correción Monetaria</v>
          </cell>
          <cell r="Q55">
            <v>3720.4704769999998</v>
          </cell>
          <cell r="R55">
            <v>21868.346652</v>
          </cell>
        </row>
        <row r="56">
          <cell r="P56" t="str">
            <v xml:space="preserve">  Rendimiento en operaciones financieras</v>
          </cell>
          <cell r="Q56">
            <v>12076.914606</v>
          </cell>
          <cell r="R56">
            <v>15008.468337</v>
          </cell>
        </row>
        <row r="58">
          <cell r="P58" t="str">
            <v xml:space="preserve">  Total Otros Ingresos</v>
          </cell>
          <cell r="Q58">
            <v>66969.747340000002</v>
          </cell>
          <cell r="R58">
            <v>125081.51157900001</v>
          </cell>
        </row>
        <row r="59">
          <cell r="P59" t="str">
            <v>OTROS EGRESOS</v>
          </cell>
        </row>
        <row r="60">
          <cell r="P60" t="str">
            <v xml:space="preserve">  Intereses y Comisiones Bancarias</v>
          </cell>
          <cell r="Q60">
            <v>66790.133116480007</v>
          </cell>
          <cell r="R60">
            <v>56339.242590900001</v>
          </cell>
        </row>
        <row r="61">
          <cell r="P61" t="str">
            <v xml:space="preserve">  Diferencia en cambio financiera</v>
          </cell>
          <cell r="Q61">
            <v>32532.019606940001</v>
          </cell>
          <cell r="R61">
            <v>25638.777989800004</v>
          </cell>
        </row>
        <row r="62">
          <cell r="P62" t="str">
            <v xml:space="preserve">  Indemniz. y Perdida en retiro de activos y otros</v>
          </cell>
          <cell r="Q62">
            <v>6039.7975977200003</v>
          </cell>
          <cell r="R62">
            <v>19943.258074880003</v>
          </cell>
        </row>
      </sheetData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CEETB"/>
      <sheetName val="PYGETB"/>
      <sheetName val="PYGLARGADISTANCIA"/>
      <sheetName val="PYGDATOSEINTERNET"/>
      <sheetName val="EBITDA"/>
      <sheetName val="Exp"/>
      <sheetName val="PCCODICIEMBRE"/>
      <sheetName val="Costos"/>
      <sheetName val="Raw IS"/>
      <sheetName val="Raw_IS"/>
    </sheetNames>
    <sheetDataSet>
      <sheetData sheetId="0" refreshError="1">
        <row r="2">
          <cell r="B2" t="str">
            <v>EMPRESA DE TELECOMUNICACIONES DE BOGOTA S.A. ESP</v>
          </cell>
        </row>
        <row r="3">
          <cell r="B3" t="str">
            <v xml:space="preserve">BALANCE GENERAL COMPARATIVO </v>
          </cell>
        </row>
        <row r="4">
          <cell r="B4" t="str">
            <v>(Expresado en Miles de Pesos Colombianos)</v>
          </cell>
        </row>
        <row r="6">
          <cell r="B6" t="str">
            <v xml:space="preserve"> A C T I V O</v>
          </cell>
        </row>
        <row r="8">
          <cell r="E8" t="str">
            <v>A 31 de Diciembre</v>
          </cell>
          <cell r="F8" t="str">
            <v>A 31 de Diciembre</v>
          </cell>
          <cell r="G8" t="str">
            <v xml:space="preserve">  V A R I A C I O N</v>
          </cell>
        </row>
        <row r="9">
          <cell r="E9" t="str">
            <v>2001</v>
          </cell>
          <cell r="F9" t="str">
            <v>2000</v>
          </cell>
          <cell r="G9" t="str">
            <v>Absoluta</v>
          </cell>
          <cell r="H9" t="str">
            <v>Relativa</v>
          </cell>
        </row>
        <row r="10">
          <cell r="B10" t="str">
            <v xml:space="preserve"> C O R R I E N T E</v>
          </cell>
        </row>
        <row r="12">
          <cell r="B12" t="str">
            <v xml:space="preserve"> Disponible</v>
          </cell>
          <cell r="E12">
            <v>64726565</v>
          </cell>
          <cell r="F12">
            <v>217175709</v>
          </cell>
          <cell r="G12">
            <v>-152449144</v>
          </cell>
          <cell r="H12">
            <v>-0.70196222543470554</v>
          </cell>
        </row>
        <row r="13">
          <cell r="B13" t="str">
            <v xml:space="preserve"> Inversiones Temporales </v>
          </cell>
          <cell r="E13">
            <v>117985829</v>
          </cell>
          <cell r="F13">
            <v>56415940</v>
          </cell>
          <cell r="G13">
            <v>61569889</v>
          </cell>
          <cell r="H13">
            <v>1.0913562549875087</v>
          </cell>
        </row>
        <row r="14">
          <cell r="B14" t="str">
            <v xml:space="preserve"> Cartera Comercial</v>
          </cell>
          <cell r="E14">
            <v>254371029</v>
          </cell>
          <cell r="F14">
            <v>186234227</v>
          </cell>
          <cell r="G14">
            <v>68136802</v>
          </cell>
          <cell r="H14">
            <v>0.36586616272206496</v>
          </cell>
        </row>
        <row r="15">
          <cell r="B15" t="str">
            <v xml:space="preserve"> Recaudo a favor de terceros y otros</v>
          </cell>
          <cell r="E15">
            <v>238756081</v>
          </cell>
          <cell r="F15">
            <v>214977081</v>
          </cell>
          <cell r="G15">
            <v>23779000</v>
          </cell>
          <cell r="H15">
            <v>0.11061179121694376</v>
          </cell>
        </row>
        <row r="16">
          <cell r="B16" t="str">
            <v xml:space="preserve"> Inventarios</v>
          </cell>
          <cell r="E16">
            <v>11088076</v>
          </cell>
          <cell r="F16">
            <v>14251471</v>
          </cell>
          <cell r="G16">
            <v>-3163395</v>
          </cell>
          <cell r="H16">
            <v>-0.22196971807331323</v>
          </cell>
        </row>
        <row r="17">
          <cell r="B17" t="str">
            <v xml:space="preserve"> Gastos pagados por anticipado</v>
          </cell>
          <cell r="E17">
            <v>2652163</v>
          </cell>
          <cell r="F17">
            <v>3751903</v>
          </cell>
          <cell r="G17">
            <v>-1099740</v>
          </cell>
          <cell r="H17">
            <v>-0.29311525377921555</v>
          </cell>
        </row>
        <row r="18">
          <cell r="B18" t="str">
            <v>TOTAL ACTIVO CORRIENTE</v>
          </cell>
          <cell r="E18">
            <v>689579743</v>
          </cell>
          <cell r="F18">
            <v>692806331</v>
          </cell>
          <cell r="G18">
            <v>-3226588</v>
          </cell>
          <cell r="H18">
            <v>-4.657272683034952E-3</v>
          </cell>
        </row>
        <row r="19">
          <cell r="B19" t="str">
            <v xml:space="preserve"> NO  C O R R I E N T E</v>
          </cell>
        </row>
        <row r="20">
          <cell r="B20" t="str">
            <v xml:space="preserve"> Propiedad planta y equipo</v>
          </cell>
          <cell r="E20">
            <v>2070410668</v>
          </cell>
          <cell r="F20">
            <v>1900523682</v>
          </cell>
          <cell r="G20">
            <v>169886986</v>
          </cell>
          <cell r="H20">
            <v>8.9389565417685724E-2</v>
          </cell>
        </row>
        <row r="21">
          <cell r="B21" t="str">
            <v xml:space="preserve"> Inversiones a largo plazo</v>
          </cell>
          <cell r="E21">
            <v>100150841</v>
          </cell>
          <cell r="F21">
            <v>97217547</v>
          </cell>
          <cell r="G21">
            <v>2933294</v>
          </cell>
          <cell r="H21">
            <v>3.017247493397468E-2</v>
          </cell>
        </row>
        <row r="22">
          <cell r="B22" t="str">
            <v xml:space="preserve"> Deudores</v>
          </cell>
          <cell r="E22">
            <v>67321048</v>
          </cell>
          <cell r="F22">
            <v>64398154</v>
          </cell>
          <cell r="G22">
            <v>2922894</v>
          </cell>
          <cell r="H22">
            <v>4.5387853819536472E-2</v>
          </cell>
        </row>
        <row r="23">
          <cell r="B23" t="str">
            <v xml:space="preserve"> Intangibles</v>
          </cell>
          <cell r="E23">
            <v>354264319</v>
          </cell>
          <cell r="F23">
            <v>350030896</v>
          </cell>
          <cell r="G23">
            <v>4233423</v>
          </cell>
          <cell r="H23">
            <v>1.2094426658839863E-2</v>
          </cell>
        </row>
        <row r="24">
          <cell r="B24" t="str">
            <v xml:space="preserve"> Diferidos</v>
          </cell>
          <cell r="E24">
            <v>114876112</v>
          </cell>
          <cell r="F24">
            <v>111527188</v>
          </cell>
          <cell r="G24">
            <v>3348924</v>
          </cell>
          <cell r="H24">
            <v>3.0027870872167961E-2</v>
          </cell>
        </row>
        <row r="25">
          <cell r="B25" t="str">
            <v xml:space="preserve"> Obras en propiedad ajena y otros activos</v>
          </cell>
          <cell r="E25">
            <v>6237925</v>
          </cell>
          <cell r="F25">
            <v>4885939</v>
          </cell>
          <cell r="G25">
            <v>1351986</v>
          </cell>
          <cell r="H25">
            <v>0.27670955368046957</v>
          </cell>
        </row>
        <row r="26">
          <cell r="B26" t="str">
            <v xml:space="preserve"> Valorizaciones</v>
          </cell>
          <cell r="E26">
            <v>191839353</v>
          </cell>
          <cell r="F26">
            <v>202321827</v>
          </cell>
          <cell r="G26">
            <v>-10482474</v>
          </cell>
          <cell r="H26">
            <v>-5.1810890379118568E-2</v>
          </cell>
        </row>
        <row r="27">
          <cell r="B27" t="str">
            <v>TOTAL ACTIVO NO CORRIENTE</v>
          </cell>
          <cell r="E27">
            <v>2905100266</v>
          </cell>
          <cell r="F27">
            <v>2730905233</v>
          </cell>
          <cell r="G27">
            <v>174195033</v>
          </cell>
          <cell r="H27">
            <v>6.3786553592209527E-2</v>
          </cell>
        </row>
        <row r="28">
          <cell r="B28" t="str">
            <v>TOTAL ACTIVO</v>
          </cell>
          <cell r="E28">
            <v>3594680009</v>
          </cell>
          <cell r="F28">
            <v>3423711564</v>
          </cell>
          <cell r="G28">
            <v>170968445</v>
          </cell>
          <cell r="H28">
            <v>4.9936579587403607E-2</v>
          </cell>
        </row>
        <row r="29">
          <cell r="B29" t="str">
            <v xml:space="preserve"> P A S I V O</v>
          </cell>
        </row>
        <row r="30">
          <cell r="B30" t="str">
            <v xml:space="preserve">C O R R I E N T E </v>
          </cell>
        </row>
        <row r="31">
          <cell r="B31" t="str">
            <v xml:space="preserve"> Proveedores Nacionales</v>
          </cell>
          <cell r="E31">
            <v>36299457</v>
          </cell>
          <cell r="F31">
            <v>51530163</v>
          </cell>
          <cell r="G31">
            <v>-15230706</v>
          </cell>
          <cell r="H31">
            <v>-0.29556875261582227</v>
          </cell>
        </row>
        <row r="32">
          <cell r="B32" t="str">
            <v xml:space="preserve"> Obligaciones Financieras</v>
          </cell>
          <cell r="E32">
            <v>232570167</v>
          </cell>
          <cell r="F32">
            <v>96969330</v>
          </cell>
          <cell r="G32">
            <v>135600837</v>
          </cell>
          <cell r="H32">
            <v>1.3983889235905829</v>
          </cell>
        </row>
        <row r="33">
          <cell r="B33" t="str">
            <v xml:space="preserve"> Proveedores del exterior</v>
          </cell>
          <cell r="E33">
            <v>58528847</v>
          </cell>
          <cell r="F33">
            <v>65056638</v>
          </cell>
          <cell r="G33">
            <v>-6527791</v>
          </cell>
          <cell r="H33">
            <v>-0.100340122094843</v>
          </cell>
        </row>
        <row r="34">
          <cell r="B34" t="str">
            <v xml:space="preserve"> Deuda pública externa</v>
          </cell>
          <cell r="E34">
            <v>20199983</v>
          </cell>
          <cell r="F34">
            <v>21169781</v>
          </cell>
          <cell r="G34">
            <v>-969798</v>
          </cell>
          <cell r="H34">
            <v>-4.5810488072597466E-2</v>
          </cell>
        </row>
        <row r="35">
          <cell r="B35" t="str">
            <v xml:space="preserve"> Recaudos a favor de terceros y otros</v>
          </cell>
          <cell r="E35">
            <v>233773848</v>
          </cell>
          <cell r="F35">
            <v>196797743</v>
          </cell>
          <cell r="G35">
            <v>36976105</v>
          </cell>
          <cell r="H35">
            <v>0.18788886720108366</v>
          </cell>
        </row>
        <row r="36">
          <cell r="B36" t="str">
            <v xml:space="preserve"> Impuestos, pensiones y otros</v>
          </cell>
          <cell r="E36">
            <v>327658185</v>
          </cell>
          <cell r="F36">
            <v>333082096</v>
          </cell>
          <cell r="G36">
            <v>-5423911</v>
          </cell>
          <cell r="H36">
            <v>-1.6284006451070199E-2</v>
          </cell>
        </row>
        <row r="37">
          <cell r="B37" t="str">
            <v>TOTAL PASIVO CORRIENTE</v>
          </cell>
          <cell r="E37">
            <v>909030487</v>
          </cell>
          <cell r="F37">
            <v>764605751</v>
          </cell>
          <cell r="G37">
            <v>144424736</v>
          </cell>
          <cell r="H37">
            <v>0.18888784947158999</v>
          </cell>
        </row>
        <row r="39">
          <cell r="B39" t="str">
            <v>L A R G O  P L A Z O</v>
          </cell>
        </row>
        <row r="40">
          <cell r="B40" t="str">
            <v xml:space="preserve"> Obligaciones Financieras del Exterior</v>
          </cell>
          <cell r="E40">
            <v>0</v>
          </cell>
          <cell r="F40">
            <v>226261770</v>
          </cell>
          <cell r="G40">
            <v>-226261770</v>
          </cell>
          <cell r="H40">
            <v>-1</v>
          </cell>
        </row>
        <row r="41">
          <cell r="B41" t="str">
            <v xml:space="preserve"> Deuda pública Externa</v>
          </cell>
          <cell r="E41">
            <v>39627448</v>
          </cell>
          <cell r="F41">
            <v>58180342</v>
          </cell>
          <cell r="G41">
            <v>-18552894</v>
          </cell>
          <cell r="H41">
            <v>-0.31888595635962402</v>
          </cell>
        </row>
        <row r="42">
          <cell r="B42" t="str">
            <v xml:space="preserve"> Cesantías </v>
          </cell>
          <cell r="E42">
            <v>10788906</v>
          </cell>
          <cell r="F42">
            <v>8366042</v>
          </cell>
          <cell r="G42">
            <v>2422864</v>
          </cell>
          <cell r="H42">
            <v>0.28960696109342976</v>
          </cell>
        </row>
        <row r="43">
          <cell r="B43" t="str">
            <v xml:space="preserve"> Pensiones de Jubilación - Apropiado</v>
          </cell>
          <cell r="E43">
            <v>724845243</v>
          </cell>
          <cell r="F43">
            <v>681265541</v>
          </cell>
          <cell r="G43">
            <v>43579702</v>
          </cell>
          <cell r="H43">
            <v>6.3968745485103007E-2</v>
          </cell>
        </row>
        <row r="44">
          <cell r="B44" t="str">
            <v xml:space="preserve"> Corrección monetaria y diferidos </v>
          </cell>
          <cell r="E44">
            <v>141386740</v>
          </cell>
          <cell r="F44">
            <v>110873654</v>
          </cell>
          <cell r="G44">
            <v>30513086</v>
          </cell>
          <cell r="H44">
            <v>0.27520592042542402</v>
          </cell>
        </row>
        <row r="45">
          <cell r="B45" t="str">
            <v>TOTAL PASIVO LARGO PLAZO</v>
          </cell>
          <cell r="E45">
            <v>916648337</v>
          </cell>
          <cell r="F45">
            <v>1084947349</v>
          </cell>
          <cell r="G45">
            <v>-168299012</v>
          </cell>
          <cell r="H45">
            <v>-0.15512182425729859</v>
          </cell>
        </row>
        <row r="47">
          <cell r="B47" t="str">
            <v xml:space="preserve">  TOTAL PASIVO</v>
          </cell>
          <cell r="E47">
            <v>1825678824</v>
          </cell>
          <cell r="F47">
            <v>1849553100</v>
          </cell>
          <cell r="G47">
            <v>-23874276</v>
          </cell>
          <cell r="H47">
            <v>-1.2908132240161185E-2</v>
          </cell>
        </row>
        <row r="49">
          <cell r="B49" t="str">
            <v>CAPITAL Y SUPERAVIT</v>
          </cell>
        </row>
        <row r="50">
          <cell r="B50" t="str">
            <v xml:space="preserve">  Capital</v>
          </cell>
          <cell r="E50">
            <v>1701505</v>
          </cell>
          <cell r="F50">
            <v>1701505</v>
          </cell>
          <cell r="G50">
            <v>0</v>
          </cell>
          <cell r="H50">
            <v>0</v>
          </cell>
        </row>
        <row r="51">
          <cell r="B51" t="str">
            <v xml:space="preserve">  Reservas</v>
          </cell>
          <cell r="E51">
            <v>588619171</v>
          </cell>
          <cell r="F51">
            <v>584469166</v>
          </cell>
          <cell r="G51">
            <v>4150005</v>
          </cell>
          <cell r="H51">
            <v>7.100468666981774E-3</v>
          </cell>
        </row>
        <row r="52">
          <cell r="B52" t="str">
            <v xml:space="preserve">  Revalorización del Patrimonio</v>
          </cell>
          <cell r="E52">
            <v>706629800</v>
          </cell>
          <cell r="F52">
            <v>601547810</v>
          </cell>
          <cell r="G52">
            <v>105081990</v>
          </cell>
          <cell r="H52">
            <v>0.17468601539751272</v>
          </cell>
        </row>
        <row r="53">
          <cell r="B53" t="str">
            <v xml:space="preserve">  Superávit por Valoriz, Donaciones, Part. Patrimonial</v>
          </cell>
          <cell r="E53">
            <v>192158792</v>
          </cell>
          <cell r="F53">
            <v>202321827</v>
          </cell>
          <cell r="G53">
            <v>-10163035</v>
          </cell>
          <cell r="H53">
            <v>-5.0232024644577766E-2</v>
          </cell>
        </row>
        <row r="54">
          <cell r="B54" t="str">
            <v xml:space="preserve">  Resultado del Presente Ejercicio </v>
          </cell>
          <cell r="E54">
            <v>279891917</v>
          </cell>
          <cell r="F54">
            <v>184118157</v>
          </cell>
          <cell r="G54">
            <v>95773760</v>
          </cell>
          <cell r="H54">
            <v>0.52017553054259613</v>
          </cell>
        </row>
        <row r="55">
          <cell r="B55" t="str">
            <v xml:space="preserve">  TOTAL CAPITAL Y SUPERAVIT</v>
          </cell>
          <cell r="E55">
            <v>1769001185</v>
          </cell>
          <cell r="F55">
            <v>1574158465</v>
          </cell>
          <cell r="G55">
            <v>194842720</v>
          </cell>
          <cell r="H55">
            <v>0.12377579788322013</v>
          </cell>
        </row>
        <row r="56">
          <cell r="G56">
            <v>0</v>
          </cell>
        </row>
        <row r="57">
          <cell r="B57" t="str">
            <v xml:space="preserve">  TOTAL PASIVO Y PATRIMONIO</v>
          </cell>
          <cell r="E57">
            <v>3594680009</v>
          </cell>
          <cell r="F57">
            <v>3423711565</v>
          </cell>
          <cell r="G57">
            <v>170968444</v>
          </cell>
          <cell r="H57">
            <v>4.9936579280737359E-2</v>
          </cell>
        </row>
        <row r="58">
          <cell r="G58">
            <v>0</v>
          </cell>
        </row>
        <row r="59">
          <cell r="B59" t="str">
            <v xml:space="preserve">  CUENTAS DE ORDEN DEUDORAS</v>
          </cell>
          <cell r="E59">
            <v>78408016</v>
          </cell>
          <cell r="F59">
            <v>61160271</v>
          </cell>
          <cell r="G59">
            <v>17247745</v>
          </cell>
          <cell r="H59">
            <v>0.28200896951552101</v>
          </cell>
        </row>
        <row r="60">
          <cell r="B60" t="str">
            <v xml:space="preserve">  CUENTAS DE ORDEN ACREEDORAS</v>
          </cell>
          <cell r="E60">
            <v>389775288</v>
          </cell>
          <cell r="F60">
            <v>402073530</v>
          </cell>
          <cell r="G60">
            <v>-12298242</v>
          </cell>
          <cell r="H60">
            <v>-3.0587047100563924E-2</v>
          </cell>
        </row>
      </sheetData>
      <sheetData sheetId="1" refreshError="1">
        <row r="1">
          <cell r="A1" t="str">
            <v>EMPRESA DE TELECOMUNICACIONES DE BOGOTA S.A. ESP</v>
          </cell>
        </row>
        <row r="2">
          <cell r="A2" t="str">
            <v>ESTADO DE RESULTADOS COMPARATIVO</v>
          </cell>
        </row>
        <row r="3">
          <cell r="A3" t="str">
            <v>(Expresado en Miles de Pesos Colombianos)</v>
          </cell>
        </row>
        <row r="5">
          <cell r="C5" t="str">
            <v>A 31 de Diciembre</v>
          </cell>
          <cell r="E5" t="str">
            <v>VARIACION</v>
          </cell>
          <cell r="G5" t="str">
            <v>PROYECTADO</v>
          </cell>
          <cell r="H5" t="str">
            <v>CUMPL.</v>
          </cell>
        </row>
        <row r="6">
          <cell r="C6" t="str">
            <v>2001</v>
          </cell>
          <cell r="D6" t="str">
            <v>2000</v>
          </cell>
          <cell r="E6" t="str">
            <v>Absoluta</v>
          </cell>
          <cell r="F6" t="str">
            <v>%</v>
          </cell>
          <cell r="G6" t="str">
            <v>2001</v>
          </cell>
          <cell r="H6" t="str">
            <v>%</v>
          </cell>
        </row>
      </sheetData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1"/>
      <sheetName val="ANEXO 2"/>
      <sheetName val="ANEXO 3 "/>
      <sheetName val="ANEXO 4"/>
      <sheetName val="ANEXO 5 "/>
      <sheetName val="ANEXOS 6"/>
      <sheetName val="ANEXO 7"/>
      <sheetName val="ANEXO 8"/>
      <sheetName val="ANEXO 9"/>
      <sheetName val="ANEXO 10"/>
      <sheetName val="ANEXO 11"/>
      <sheetName val="ANEXO 12"/>
      <sheetName val="ANEXO 13"/>
      <sheetName val="ANEXO 14"/>
      <sheetName val="ANEXO 15"/>
      <sheetName val="ANEXO 16"/>
      <sheetName val="ANEXO 17 "/>
      <sheetName val="ANEXO 18"/>
      <sheetName val="ANEXO 19"/>
      <sheetName val="ANEXO 20"/>
      <sheetName val="ANEXO 21"/>
      <sheetName val="ANEXO 22"/>
      <sheetName val="ANEXO 23"/>
      <sheetName val="ANEXO 24"/>
      <sheetName val="ANEXO 25"/>
      <sheetName val="ANEXO  26"/>
      <sheetName val="ANEXO 27 "/>
      <sheetName val="ANEXO 28 "/>
      <sheetName val="ANEXO 29 "/>
      <sheetName val="ANEXO 30"/>
      <sheetName val="ANEXO31"/>
      <sheetName val="ANEXO 32"/>
      <sheetName val="ANEXO 33"/>
      <sheetName val="ANEXO 34"/>
      <sheetName val="ANEXO 35"/>
      <sheetName val="ANEXO 36"/>
      <sheetName val="ANEXO 37"/>
      <sheetName val="ANEXO 38"/>
      <sheetName val="ANEXO 38A"/>
      <sheetName val="ANEXO 39"/>
      <sheetName val="ANEXO 40"/>
      <sheetName val="ANEXO 40A"/>
      <sheetName val="ANEXO 41"/>
      <sheetName val="ANEXO 42"/>
      <sheetName val="ANEXO 43"/>
      <sheetName val="ANEXO 44"/>
      <sheetName val="ANEXO 45"/>
      <sheetName val="ANEXO 46"/>
      <sheetName val="ANEXO 47"/>
      <sheetName val="ANEXO 48"/>
      <sheetName val="ANEXO 49"/>
      <sheetName val="ANEXO 50"/>
      <sheetName val="ANEXO 51"/>
      <sheetName val="ANEXO 52 "/>
      <sheetName val="ANEXO 53"/>
      <sheetName val="ANEXO 54"/>
      <sheetName val="ANEXO 55"/>
      <sheetName val="ANEXO 56"/>
      <sheetName val="ANEXO 57"/>
      <sheetName val="ANEXO 58"/>
      <sheetName val="ANEXO 59"/>
      <sheetName val="ANEXO 60"/>
      <sheetName val="ANEXO 61"/>
      <sheetName val="ANEXO 62"/>
      <sheetName val="ANEXO 63"/>
      <sheetName val="ANEXO 64"/>
      <sheetName val="ANEXO 6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01_Efectivo"/>
      <sheetName val="02_Inversiones_Temporales OK"/>
      <sheetName val="08_Interconex op internac OKO"/>
      <sheetName val="27_inversiones OKO"/>
      <sheetName val="33_Cargos Diferidos OKO  "/>
      <sheetName val="38_Cuentas  orden deudoras OKO"/>
      <sheetName val="39_Cuentas orden acreedora OKO"/>
      <sheetName val="42_Servicios de conexion OKO"/>
      <sheetName val="59_Ingresos minutos OKO"/>
      <sheetName val="61_Gasto OKO"/>
      <sheetName val="61_Costo OKO"/>
      <sheetName val="62_Cargos de acceso OP OKC"/>
      <sheetName val="63_Otros_Costos_Gasto OKO"/>
      <sheetName val="65_Gastos no operacionales  OK"/>
      <sheetName val="64_Ingresos no operac  OK"/>
      <sheetName val="Saliente"/>
      <sheetName val="02_Inversiones_Temporales_OK"/>
      <sheetName val="08_Interconex_op_internac_OKO"/>
      <sheetName val="27_inversiones_OKO"/>
      <sheetName val="33_Cargos_Diferidos_OKO__"/>
      <sheetName val="38_Cuentas__orden_deudoras_OKO"/>
      <sheetName val="39_Cuentas_orden_acreedora_OKO"/>
      <sheetName val="42_Servicios_de_conexion_OKO"/>
      <sheetName val="59_Ingresos_minutos_OKO"/>
      <sheetName val="61_Gasto_OKO"/>
      <sheetName val="61_Costo_OKO"/>
      <sheetName val="62_Cargos_de_acceso_OP_OKC"/>
      <sheetName val="63_Otros_Costos_Gasto_OKO"/>
      <sheetName val="65_Gastos_no_operacionales__OK"/>
      <sheetName val="64_Ingresos_no_operac__O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17"/>
      <sheetName val="Detalle"/>
      <sheetName val="ANEXO 44"/>
    </sheetNames>
    <sheetDataSet>
      <sheetData sheetId="0" refreshError="1"/>
      <sheetData sheetId="1"/>
      <sheetData sheetId="2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ALBA MARINA ROMERO MENDOZA" id="{57106691-7E56-4B40-BAC3-42A1F11A54E5}" userId="S::albaromm@etb.com.co::7f76e0fd-4637-42e2-954e-f712ebdf9be2" providerId="AD"/>
  <person displayName="ANGELICA PATRICIA BELTRAN LOZADA" id="{C33099CB-DF9C-4E28-BA7A-08F8021D1A76}" userId="S::angebell@etb.com.co::75780be5-f25c-4a27-8bf9-09c296c39aec" providerId="AD"/>
</personList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52" dT="2021-04-12T23:26:41.44" personId="{57106691-7E56-4B40-BAC3-42A1F11A54E5}" id="{7E54E570-A9B6-4B34-96F7-3A3DC05F716B}">
    <text>Correspondiente a servicios de implementación de recaudo en los sistemas.</text>
  </threadedComment>
  <threadedComment ref="A65" dT="2021-08-11T16:50:11.26" personId="{C33099CB-DF9C-4E28-BA7A-08F8021D1A76}" id="{D699E67E-66D7-4698-8301-8EF7DB563EC1}">
    <text>Por favor verificar el nombre ya que Estampillas esta en la linea otras contribuciones.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8"/>
  <sheetViews>
    <sheetView showGridLines="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baseColWidth="10" defaultColWidth="11.42578125" defaultRowHeight="18" outlineLevelCol="1"/>
  <cols>
    <col min="1" max="1" width="67" style="2" customWidth="1"/>
    <col min="2" max="2" width="12.85546875" style="2" customWidth="1" outlineLevel="1"/>
    <col min="3" max="13" width="12.85546875" style="1" customWidth="1" outlineLevel="1"/>
    <col min="14" max="14" width="1.28515625" style="1" customWidth="1"/>
    <col min="15" max="26" width="13.140625" style="1" bestFit="1" customWidth="1"/>
    <col min="27" max="27" width="3.42578125" style="1" customWidth="1"/>
    <col min="28" max="33" width="12" style="1" bestFit="1" customWidth="1"/>
    <col min="34" max="38" width="11.42578125" style="1"/>
    <col min="39" max="39" width="12" style="1" bestFit="1" customWidth="1"/>
    <col min="40" max="16384" width="11.42578125" style="1"/>
  </cols>
  <sheetData>
    <row r="1" spans="1:39" ht="20.25">
      <c r="A1" s="25" t="s">
        <v>0</v>
      </c>
      <c r="B1" s="26"/>
      <c r="E1" s="16"/>
    </row>
    <row r="2" spans="1:39" ht="20.25">
      <c r="A2" s="168" t="s">
        <v>1</v>
      </c>
      <c r="B2" s="168"/>
    </row>
    <row r="3" spans="1:39" ht="15">
      <c r="A3" s="3" t="s">
        <v>2</v>
      </c>
      <c r="B3" s="3"/>
    </row>
    <row r="4" spans="1:39" ht="15">
      <c r="A4" s="3"/>
      <c r="B4" s="3"/>
    </row>
    <row r="5" spans="1:39" s="8" customFormat="1" ht="15.75">
      <c r="A5" s="7" t="s">
        <v>3</v>
      </c>
      <c r="B5" s="30">
        <v>44197</v>
      </c>
      <c r="C5" s="30">
        <v>44228</v>
      </c>
      <c r="D5" s="30">
        <v>44256</v>
      </c>
      <c r="E5" s="30">
        <v>44287</v>
      </c>
      <c r="F5" s="30">
        <v>44317</v>
      </c>
      <c r="G5" s="30">
        <v>44348</v>
      </c>
      <c r="H5" s="30">
        <v>44378</v>
      </c>
      <c r="I5" s="30">
        <v>44409</v>
      </c>
      <c r="J5" s="30">
        <v>44440</v>
      </c>
      <c r="K5" s="30">
        <v>44470</v>
      </c>
      <c r="L5" s="30">
        <v>44501</v>
      </c>
      <c r="M5" s="30">
        <v>44531</v>
      </c>
      <c r="O5" s="30">
        <v>44562</v>
      </c>
      <c r="P5" s="30">
        <v>44593</v>
      </c>
      <c r="Q5" s="30">
        <v>44621</v>
      </c>
      <c r="R5" s="30">
        <v>44652</v>
      </c>
      <c r="S5" s="30">
        <v>44682</v>
      </c>
      <c r="T5" s="30">
        <v>44713</v>
      </c>
      <c r="U5" s="30">
        <v>44743</v>
      </c>
      <c r="V5" s="30">
        <v>44774</v>
      </c>
      <c r="W5" s="30">
        <v>44805</v>
      </c>
      <c r="X5" s="30">
        <v>44835</v>
      </c>
      <c r="Y5" s="30">
        <v>44866</v>
      </c>
      <c r="Z5" s="30">
        <v>44896</v>
      </c>
      <c r="AB5" s="30">
        <v>44927</v>
      </c>
      <c r="AC5" s="30">
        <v>44958</v>
      </c>
      <c r="AD5" s="30">
        <v>44986</v>
      </c>
      <c r="AE5" s="30">
        <v>45017</v>
      </c>
      <c r="AF5" s="30">
        <v>45047</v>
      </c>
      <c r="AG5" s="30">
        <v>45078</v>
      </c>
      <c r="AH5" s="30">
        <v>45108</v>
      </c>
      <c r="AI5" s="30">
        <v>45139</v>
      </c>
      <c r="AJ5" s="30">
        <v>45170</v>
      </c>
      <c r="AK5" s="30">
        <v>45200</v>
      </c>
      <c r="AL5" s="30">
        <v>45231</v>
      </c>
      <c r="AM5" s="30">
        <v>45261</v>
      </c>
    </row>
    <row r="6" spans="1:39" s="8" customFormat="1" ht="15.75">
      <c r="A6" s="9" t="s">
        <v>4</v>
      </c>
      <c r="B6" s="10">
        <f>+B8+B17</f>
        <v>3641861.5624959702</v>
      </c>
      <c r="C6" s="10">
        <f t="shared" ref="C6:L6" si="0">+C8+C17</f>
        <v>3650467.3070246689</v>
      </c>
      <c r="D6" s="10">
        <f t="shared" si="0"/>
        <v>3679090.2412842792</v>
      </c>
      <c r="E6" s="10">
        <f t="shared" si="0"/>
        <v>3677078.9382842798</v>
      </c>
      <c r="F6" s="10">
        <f t="shared" si="0"/>
        <v>3675264.138284279</v>
      </c>
      <c r="G6" s="10">
        <f t="shared" si="0"/>
        <v>3704028.9501331998</v>
      </c>
      <c r="H6" s="10">
        <f t="shared" si="0"/>
        <v>3707294.8641331997</v>
      </c>
      <c r="I6" s="10">
        <f t="shared" si="0"/>
        <v>3665945.5371331992</v>
      </c>
      <c r="J6" s="10">
        <f t="shared" si="0"/>
        <v>3594238.55031412</v>
      </c>
      <c r="K6" s="10">
        <f t="shared" si="0"/>
        <v>3480803.3619999997</v>
      </c>
      <c r="L6" s="10">
        <f t="shared" si="0"/>
        <v>3487826.7589999996</v>
      </c>
      <c r="M6" s="10">
        <f>+M8+M17</f>
        <v>3843995.5489999996</v>
      </c>
      <c r="O6" s="10">
        <f>+O8+O17</f>
        <v>3781709.3843743205</v>
      </c>
      <c r="P6" s="10">
        <f t="shared" ref="P6:Z6" si="1">+P8+P17</f>
        <v>3765647.7289999994</v>
      </c>
      <c r="Q6" s="10">
        <f t="shared" si="1"/>
        <v>3720905.4720000001</v>
      </c>
      <c r="R6" s="10">
        <f t="shared" si="1"/>
        <v>3713686.5529999998</v>
      </c>
      <c r="S6" s="10">
        <f t="shared" si="1"/>
        <v>3721142.2170000002</v>
      </c>
      <c r="T6" s="10">
        <f t="shared" si="1"/>
        <v>3749897.9400000009</v>
      </c>
      <c r="U6" s="10">
        <f t="shared" si="1"/>
        <v>3770466.9790000007</v>
      </c>
      <c r="V6" s="10">
        <f t="shared" si="1"/>
        <v>3812865.7380000004</v>
      </c>
      <c r="W6" s="10">
        <f t="shared" si="1"/>
        <v>3715382.1999999997</v>
      </c>
      <c r="X6" s="10">
        <f t="shared" si="1"/>
        <v>3795425.4270000001</v>
      </c>
      <c r="Y6" s="10">
        <f t="shared" si="1"/>
        <v>4140193.017</v>
      </c>
      <c r="Z6" s="10">
        <f t="shared" si="1"/>
        <v>4218365.6959999995</v>
      </c>
      <c r="AB6" s="10">
        <f t="shared" ref="AB6:AM6" si="2">+AB8+AB17</f>
        <v>3885010.6100000003</v>
      </c>
      <c r="AC6" s="10">
        <f t="shared" si="2"/>
        <v>3817065.6040000003</v>
      </c>
      <c r="AD6" s="10">
        <f t="shared" si="2"/>
        <v>3847687.9689999996</v>
      </c>
      <c r="AE6" s="10">
        <f t="shared" si="2"/>
        <v>3859208.7189999996</v>
      </c>
      <c r="AF6" s="10">
        <f t="shared" si="2"/>
        <v>3914326.7519999999</v>
      </c>
      <c r="AG6" s="10">
        <f t="shared" si="2"/>
        <v>3901879.3920000009</v>
      </c>
      <c r="AH6" s="10">
        <f t="shared" si="2"/>
        <v>0</v>
      </c>
      <c r="AI6" s="10">
        <f t="shared" si="2"/>
        <v>0</v>
      </c>
      <c r="AJ6" s="10">
        <f t="shared" si="2"/>
        <v>0</v>
      </c>
      <c r="AK6" s="10">
        <f t="shared" si="2"/>
        <v>0</v>
      </c>
      <c r="AL6" s="10">
        <f t="shared" si="2"/>
        <v>0</v>
      </c>
      <c r="AM6" s="10">
        <f t="shared" si="2"/>
        <v>4075757.777999999</v>
      </c>
    </row>
    <row r="7" spans="1:39" s="8" customFormat="1" ht="15.75">
      <c r="A7" s="11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</row>
    <row r="8" spans="1:39" s="8" customFormat="1" ht="15.75">
      <c r="A8" s="13" t="s">
        <v>5</v>
      </c>
      <c r="B8" s="14">
        <f>SUM(B9:B15)</f>
        <v>694996.05300000007</v>
      </c>
      <c r="C8" s="14">
        <f t="shared" ref="C8:Z8" si="3">SUM(C9:C15)</f>
        <v>706321.28900000011</v>
      </c>
      <c r="D8" s="14">
        <f t="shared" si="3"/>
        <v>721428.01699999906</v>
      </c>
      <c r="E8" s="14">
        <f t="shared" si="3"/>
        <v>718264.1259999997</v>
      </c>
      <c r="F8" s="14">
        <f t="shared" si="3"/>
        <v>717097.07900000014</v>
      </c>
      <c r="G8" s="14">
        <f t="shared" si="3"/>
        <v>733176.86099999945</v>
      </c>
      <c r="H8" s="14">
        <f t="shared" si="3"/>
        <v>733851.3969999993</v>
      </c>
      <c r="I8" s="14">
        <f t="shared" si="3"/>
        <v>690421.46999999916</v>
      </c>
      <c r="J8" s="14">
        <f t="shared" si="3"/>
        <v>603290.94399999955</v>
      </c>
      <c r="K8" s="14">
        <f t="shared" si="3"/>
        <v>480262.54700000025</v>
      </c>
      <c r="L8" s="14">
        <f t="shared" si="3"/>
        <v>465610.7019999997</v>
      </c>
      <c r="M8" s="14">
        <f t="shared" si="3"/>
        <v>713496.94299999997</v>
      </c>
      <c r="O8" s="14">
        <f t="shared" si="3"/>
        <v>655476.37300000002</v>
      </c>
      <c r="P8" s="14">
        <f t="shared" si="3"/>
        <v>654420.00200000009</v>
      </c>
      <c r="Q8" s="14">
        <f t="shared" si="3"/>
        <v>593307.67200000002</v>
      </c>
      <c r="R8" s="14">
        <f t="shared" si="3"/>
        <v>581358.9</v>
      </c>
      <c r="S8" s="14">
        <f t="shared" si="3"/>
        <v>588535.01</v>
      </c>
      <c r="T8" s="14">
        <f t="shared" si="3"/>
        <v>606313.13</v>
      </c>
      <c r="U8" s="14">
        <f t="shared" si="3"/>
        <v>610350.00600000005</v>
      </c>
      <c r="V8" s="14">
        <f t="shared" si="3"/>
        <v>617317.31900000002</v>
      </c>
      <c r="W8" s="14">
        <f t="shared" si="3"/>
        <v>489750.46800000005</v>
      </c>
      <c r="X8" s="14">
        <f t="shared" si="3"/>
        <v>515095.72600000002</v>
      </c>
      <c r="Y8" s="14">
        <f t="shared" si="3"/>
        <v>834831.54099999997</v>
      </c>
      <c r="Z8" s="14">
        <f t="shared" si="3"/>
        <v>833565.61300000001</v>
      </c>
      <c r="AB8" s="14">
        <f t="shared" ref="AB8:AM8" si="4">SUM(AB9:AB15)</f>
        <v>491400.87400000001</v>
      </c>
      <c r="AC8" s="14">
        <f t="shared" si="4"/>
        <v>413932.01400000002</v>
      </c>
      <c r="AD8" s="14">
        <f t="shared" si="4"/>
        <v>423995.10700000002</v>
      </c>
      <c r="AE8" s="14">
        <f t="shared" si="4"/>
        <v>413659.071</v>
      </c>
      <c r="AF8" s="14">
        <f t="shared" si="4"/>
        <v>444507.53200000001</v>
      </c>
      <c r="AG8" s="14">
        <f t="shared" si="4"/>
        <v>425006.22600000002</v>
      </c>
      <c r="AH8" s="14">
        <f t="shared" si="4"/>
        <v>0</v>
      </c>
      <c r="AI8" s="14">
        <f t="shared" si="4"/>
        <v>0</v>
      </c>
      <c r="AJ8" s="14">
        <f t="shared" si="4"/>
        <v>0</v>
      </c>
      <c r="AK8" s="14">
        <f t="shared" si="4"/>
        <v>0</v>
      </c>
      <c r="AL8" s="14">
        <f t="shared" si="4"/>
        <v>0</v>
      </c>
      <c r="AM8" s="14">
        <f t="shared" si="4"/>
        <v>493801.24099999998</v>
      </c>
    </row>
    <row r="9" spans="1:39" s="8" customFormat="1" ht="15">
      <c r="A9" s="15" t="s">
        <v>6</v>
      </c>
      <c r="B9" s="16">
        <v>370905.45500000002</v>
      </c>
      <c r="C9" s="16">
        <v>381055.81800000003</v>
      </c>
      <c r="D9" s="16">
        <v>398828.65600000002</v>
      </c>
      <c r="E9" s="16">
        <v>396416.7</v>
      </c>
      <c r="F9" s="16">
        <v>388276.799</v>
      </c>
      <c r="G9" s="16">
        <v>405098.40399999998</v>
      </c>
      <c r="H9" s="16">
        <v>397112.011</v>
      </c>
      <c r="I9" s="16">
        <v>405219.11</v>
      </c>
      <c r="J9" s="16">
        <v>313891.00699999998</v>
      </c>
      <c r="K9" s="16">
        <v>230123.83499999999</v>
      </c>
      <c r="L9" s="16">
        <v>220847.09599999999</v>
      </c>
      <c r="M9" s="16">
        <v>416017.01500000001</v>
      </c>
      <c r="O9" s="16">
        <v>325433.114</v>
      </c>
      <c r="P9" s="16">
        <v>329648.10600000003</v>
      </c>
      <c r="Q9" s="16">
        <v>299253.68800000002</v>
      </c>
      <c r="R9" s="16">
        <v>283962.57500000001</v>
      </c>
      <c r="S9" s="16">
        <v>258159.12599999999</v>
      </c>
      <c r="T9" s="16">
        <v>267516.11200000002</v>
      </c>
      <c r="U9" s="16">
        <v>277740.58199999999</v>
      </c>
      <c r="V9" s="16">
        <v>316376.15500000003</v>
      </c>
      <c r="W9" s="16">
        <v>190856.97</v>
      </c>
      <c r="X9" s="16">
        <v>181143.91800000001</v>
      </c>
      <c r="Y9" s="16">
        <v>505205.07500000001</v>
      </c>
      <c r="Z9" s="16">
        <v>481906.74300000002</v>
      </c>
      <c r="AB9" s="16">
        <v>134934.959</v>
      </c>
      <c r="AC9" s="16">
        <v>132336.19200000001</v>
      </c>
      <c r="AD9" s="16">
        <v>98508.277000000002</v>
      </c>
      <c r="AE9" s="16">
        <v>59759.667999999998</v>
      </c>
      <c r="AF9" s="16">
        <v>99963.657000000007</v>
      </c>
      <c r="AG9" s="16">
        <v>84285.983999999997</v>
      </c>
      <c r="AM9" s="16">
        <v>211246.125</v>
      </c>
    </row>
    <row r="10" spans="1:39" s="8" customFormat="1" ht="15">
      <c r="A10" s="15" t="s">
        <v>7</v>
      </c>
      <c r="B10" s="16">
        <v>248352.038</v>
      </c>
      <c r="C10" s="16">
        <v>243398.84299999999</v>
      </c>
      <c r="D10" s="16">
        <v>225165.91399999999</v>
      </c>
      <c r="E10" s="16">
        <v>218455.81299999999</v>
      </c>
      <c r="F10" s="16">
        <v>218516.28</v>
      </c>
      <c r="G10" s="16">
        <v>220914.35399999999</v>
      </c>
      <c r="H10" s="16">
        <v>226817.01799999998</v>
      </c>
      <c r="I10" s="16">
        <v>172770.83100000001</v>
      </c>
      <c r="J10" s="16">
        <v>173625.109</v>
      </c>
      <c r="K10" s="16">
        <v>166005.94099999999</v>
      </c>
      <c r="L10" s="16">
        <v>178892.45300000001</v>
      </c>
      <c r="M10" s="16">
        <v>176510.86300000001</v>
      </c>
      <c r="O10" s="16">
        <v>184637.10399999999</v>
      </c>
      <c r="P10" s="16">
        <v>230159.864</v>
      </c>
      <c r="Q10" s="16">
        <v>193721.36600000001</v>
      </c>
      <c r="R10" s="34">
        <v>196355.12299999999</v>
      </c>
      <c r="S10" s="16">
        <v>184873.505</v>
      </c>
      <c r="T10" s="16">
        <v>193825.886</v>
      </c>
      <c r="U10" s="16">
        <v>183823.62899999999</v>
      </c>
      <c r="V10" s="16">
        <v>190387.579</v>
      </c>
      <c r="W10" s="16">
        <v>183170.05</v>
      </c>
      <c r="X10" s="16">
        <v>199087.08300000001</v>
      </c>
      <c r="Y10" s="16">
        <v>205891.04699999999</v>
      </c>
      <c r="Z10" s="16">
        <v>221866.05600000001</v>
      </c>
      <c r="AB10" s="16">
        <v>221494.571</v>
      </c>
      <c r="AC10" s="16">
        <v>183579.736</v>
      </c>
      <c r="AD10" s="16">
        <v>219735.16699999999</v>
      </c>
      <c r="AE10" s="34">
        <v>234606.38500000001</v>
      </c>
      <c r="AF10" s="16">
        <v>222920.31200000001</v>
      </c>
      <c r="AG10" s="16">
        <v>219416.88500000001</v>
      </c>
      <c r="AM10" s="16">
        <v>202242.815</v>
      </c>
    </row>
    <row r="11" spans="1:39" s="8" customFormat="1" ht="15">
      <c r="A11" s="15" t="s">
        <v>8</v>
      </c>
      <c r="B11" s="16">
        <v>13720.731</v>
      </c>
      <c r="C11" s="16">
        <v>13720.731</v>
      </c>
      <c r="D11" s="16">
        <v>13711.241</v>
      </c>
      <c r="E11" s="16">
        <v>13709.321</v>
      </c>
      <c r="F11" s="16">
        <v>13703.540999999999</v>
      </c>
      <c r="G11" s="32">
        <v>11058.263000000001</v>
      </c>
      <c r="H11" s="16">
        <v>11058.263000000001</v>
      </c>
      <c r="I11" s="16">
        <v>11058.263000000001</v>
      </c>
      <c r="J11" s="16">
        <v>13560.18</v>
      </c>
      <c r="K11" s="16">
        <v>13560.18</v>
      </c>
      <c r="L11" s="16">
        <v>13560.18</v>
      </c>
      <c r="M11" s="16">
        <v>53863.800999999999</v>
      </c>
      <c r="O11" s="16">
        <v>59088.529825639998</v>
      </c>
      <c r="P11" s="16">
        <v>13130.97955265</v>
      </c>
      <c r="Q11" s="16">
        <v>13130.97955265</v>
      </c>
      <c r="R11" s="16">
        <v>13130.98</v>
      </c>
      <c r="S11" s="16">
        <v>13130.98</v>
      </c>
      <c r="T11" s="16">
        <v>13130.98</v>
      </c>
      <c r="U11" s="16">
        <v>13115.966</v>
      </c>
      <c r="V11" s="16">
        <v>13115.966</v>
      </c>
      <c r="W11" s="16">
        <v>13117.316000000001</v>
      </c>
      <c r="X11" s="16">
        <v>13117.316000000001</v>
      </c>
      <c r="Y11" s="16">
        <v>13117.316000000001</v>
      </c>
      <c r="Z11" s="16">
        <v>13117.316000000001</v>
      </c>
      <c r="AB11" s="16">
        <v>13114.776</v>
      </c>
      <c r="AC11" s="16">
        <v>12696.776</v>
      </c>
      <c r="AD11" s="16">
        <v>12685.815000000001</v>
      </c>
      <c r="AE11" s="16">
        <v>12685.816999999999</v>
      </c>
      <c r="AF11" s="16">
        <v>12678.986000000001</v>
      </c>
      <c r="AG11" s="16">
        <v>12678.986000000001</v>
      </c>
      <c r="AM11" s="16">
        <v>2188.2669999999998</v>
      </c>
    </row>
    <row r="12" spans="1:39" s="8" customFormat="1" ht="15">
      <c r="A12" s="15" t="s">
        <v>9</v>
      </c>
      <c r="B12" s="16">
        <v>0</v>
      </c>
      <c r="C12" s="16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16262.234</v>
      </c>
      <c r="L12" s="16">
        <v>73.974999999999994</v>
      </c>
      <c r="M12" s="16">
        <v>0</v>
      </c>
      <c r="O12" s="16">
        <v>15770.634</v>
      </c>
      <c r="P12" s="16">
        <v>0</v>
      </c>
      <c r="Q12" s="16">
        <v>0</v>
      </c>
      <c r="R12" s="16">
        <v>0</v>
      </c>
      <c r="S12" s="16">
        <v>42229.343000000001</v>
      </c>
      <c r="T12" s="16">
        <v>40383.366000000002</v>
      </c>
      <c r="U12" s="16">
        <v>40588.807999999997</v>
      </c>
      <c r="V12" s="16" t="s">
        <v>10</v>
      </c>
      <c r="W12" s="16" t="s">
        <v>10</v>
      </c>
      <c r="X12" s="16" t="s">
        <v>10</v>
      </c>
      <c r="Y12" s="16" t="s">
        <v>10</v>
      </c>
      <c r="Z12" s="16" t="s">
        <v>10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/>
      <c r="AM12" s="16">
        <v>0</v>
      </c>
    </row>
    <row r="13" spans="1:39" s="8" customFormat="1" ht="15">
      <c r="A13" s="15" t="s">
        <v>11</v>
      </c>
      <c r="B13" s="16">
        <v>207.23599999999999</v>
      </c>
      <c r="C13" s="16">
        <v>163.36500000000001</v>
      </c>
      <c r="D13" s="16">
        <v>132.13800000000001</v>
      </c>
      <c r="E13" s="16">
        <v>428.726</v>
      </c>
      <c r="F13" s="16">
        <v>359.66800000000001</v>
      </c>
      <c r="G13" s="16">
        <v>317.08199999999999</v>
      </c>
      <c r="H13" s="16">
        <v>279.30099999999999</v>
      </c>
      <c r="I13" s="16">
        <v>235.864</v>
      </c>
      <c r="J13" s="16">
        <v>211.709</v>
      </c>
      <c r="K13" s="16">
        <v>193.68</v>
      </c>
      <c r="L13" s="16">
        <v>842.20399999999995</v>
      </c>
      <c r="M13" s="16">
        <v>922.745</v>
      </c>
      <c r="O13" s="16">
        <v>1004.942</v>
      </c>
      <c r="P13" s="16">
        <v>953.58399999999995</v>
      </c>
      <c r="Q13" s="16">
        <v>1263.4010000000001</v>
      </c>
      <c r="R13" s="16">
        <v>1219.568</v>
      </c>
      <c r="S13" s="16">
        <v>1189.3969999999999</v>
      </c>
      <c r="T13" s="16">
        <v>1121.691</v>
      </c>
      <c r="U13" s="16">
        <v>1710.9960000000001</v>
      </c>
      <c r="V13" s="16">
        <v>1644.769</v>
      </c>
      <c r="W13" s="16">
        <v>1957.4870000000001</v>
      </c>
      <c r="X13" s="16">
        <v>1905.136</v>
      </c>
      <c r="Y13" s="16">
        <v>1971.0340000000001</v>
      </c>
      <c r="Z13" s="16">
        <v>2187.3090000000002</v>
      </c>
      <c r="AB13" s="16">
        <v>2364.3820000000001</v>
      </c>
      <c r="AC13" s="16">
        <v>2337.7820000000002</v>
      </c>
      <c r="AD13" s="16">
        <v>2246.1950000000002</v>
      </c>
      <c r="AE13" s="16">
        <v>2328.1819999999998</v>
      </c>
      <c r="AF13" s="16">
        <v>2475.2689999999998</v>
      </c>
      <c r="AG13" s="16">
        <v>2468.0219999999999</v>
      </c>
      <c r="AM13" s="16">
        <v>858.78899999999999</v>
      </c>
    </row>
    <row r="14" spans="1:39" s="8" customFormat="1" ht="15">
      <c r="A14" s="15" t="s">
        <v>12</v>
      </c>
      <c r="B14" s="16">
        <v>54778.32</v>
      </c>
      <c r="C14" s="16">
        <v>58005.491999999998</v>
      </c>
      <c r="D14" s="16">
        <v>61645.228000000003</v>
      </c>
      <c r="E14" s="16">
        <v>65595.127999999997</v>
      </c>
      <c r="F14" s="16">
        <v>69735.187000000005</v>
      </c>
      <c r="G14" s="16">
        <v>73443.789000000004</v>
      </c>
      <c r="H14" s="16">
        <v>77388.774000000005</v>
      </c>
      <c r="I14" s="16">
        <v>82178.589000000007</v>
      </c>
      <c r="J14" s="16">
        <v>85838.960999999996</v>
      </c>
      <c r="K14" s="16">
        <v>40553.07</v>
      </c>
      <c r="L14" s="16">
        <v>44524.614000000001</v>
      </c>
      <c r="M14" s="16">
        <v>49098.608</v>
      </c>
      <c r="O14" s="16">
        <v>53621.855000000003</v>
      </c>
      <c r="P14" s="16">
        <v>57495.726000000002</v>
      </c>
      <c r="Q14" s="16">
        <v>61063.938999999998</v>
      </c>
      <c r="R14" s="16">
        <v>64249.142</v>
      </c>
      <c r="S14" s="16">
        <v>68223.441000000006</v>
      </c>
      <c r="T14" s="16">
        <v>72323.474000000002</v>
      </c>
      <c r="U14" s="16">
        <v>77236.464000000007</v>
      </c>
      <c r="V14" s="16">
        <v>81610.061000000002</v>
      </c>
      <c r="W14" s="16">
        <v>85699.513999999996</v>
      </c>
      <c r="X14" s="16">
        <v>106698.452</v>
      </c>
      <c r="Y14" s="16">
        <v>98508.555999999997</v>
      </c>
      <c r="Z14" s="16">
        <v>101737.40700000001</v>
      </c>
      <c r="AB14" s="16">
        <v>106939.488</v>
      </c>
      <c r="AC14" s="16">
        <v>63403.214999999997</v>
      </c>
      <c r="AD14" s="16">
        <v>68264.207999999999</v>
      </c>
      <c r="AE14" s="16">
        <v>73290.160999999993</v>
      </c>
      <c r="AF14" s="16">
        <v>78598.418000000005</v>
      </c>
      <c r="AG14" s="16">
        <v>84413.627999999997</v>
      </c>
      <c r="AM14" s="16">
        <v>71979.020999999993</v>
      </c>
    </row>
    <row r="15" spans="1:39" s="8" customFormat="1" ht="15">
      <c r="A15" s="15" t="s">
        <v>13</v>
      </c>
      <c r="B15" s="16">
        <f>20753.004-B11</f>
        <v>7032.273000000001</v>
      </c>
      <c r="C15" s="16">
        <f>23697.771-C11</f>
        <v>9977.0400000000009</v>
      </c>
      <c r="D15" s="16">
        <v>21944.839999998901</v>
      </c>
      <c r="E15" s="16">
        <v>23658.437999999602</v>
      </c>
      <c r="F15" s="16">
        <v>26505.604000000199</v>
      </c>
      <c r="G15" s="16">
        <v>22344.968999999499</v>
      </c>
      <c r="H15" s="16">
        <v>21196.0299999993</v>
      </c>
      <c r="I15" s="16">
        <v>18958.8129999991</v>
      </c>
      <c r="J15" s="16">
        <v>16163.977999999601</v>
      </c>
      <c r="K15" s="16">
        <v>13563.6070000003</v>
      </c>
      <c r="L15" s="16">
        <v>6870.1799999997002</v>
      </c>
      <c r="M15" s="16">
        <f>70947.712-M11</f>
        <v>17083.911</v>
      </c>
      <c r="O15" s="16">
        <v>15920.194174359989</v>
      </c>
      <c r="P15" s="16">
        <v>23031.74244735</v>
      </c>
      <c r="Q15" s="16">
        <v>24874.298447350004</v>
      </c>
      <c r="R15" s="16">
        <v>22441.511999999999</v>
      </c>
      <c r="S15" s="16">
        <v>20729.218000000001</v>
      </c>
      <c r="T15" s="16">
        <v>18011.620999999999</v>
      </c>
      <c r="U15" s="16">
        <v>16133.561</v>
      </c>
      <c r="V15" s="16">
        <v>14182.789000000001</v>
      </c>
      <c r="W15" s="16">
        <v>14949.130999999999</v>
      </c>
      <c r="X15" s="16">
        <v>13143.821</v>
      </c>
      <c r="Y15" s="16">
        <v>10138.513000000001</v>
      </c>
      <c r="Z15" s="16">
        <v>12750.781999999999</v>
      </c>
      <c r="AB15" s="16">
        <v>12552.698</v>
      </c>
      <c r="AC15" s="16">
        <v>19578.312999999998</v>
      </c>
      <c r="AD15" s="16">
        <v>22555.445</v>
      </c>
      <c r="AE15" s="16">
        <v>30988.858</v>
      </c>
      <c r="AF15" s="16">
        <v>27870.89</v>
      </c>
      <c r="AG15" s="16">
        <v>21742.721000000001</v>
      </c>
      <c r="AM15" s="16">
        <v>5286.2240000000002</v>
      </c>
    </row>
    <row r="16" spans="1:39" s="8" customFormat="1" ht="15">
      <c r="A16" s="17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</row>
    <row r="17" spans="1:39" s="8" customFormat="1" ht="15.75">
      <c r="A17" s="13" t="s">
        <v>14</v>
      </c>
      <c r="B17" s="14">
        <f>SUM(B18:B26)</f>
        <v>2946865.5094959703</v>
      </c>
      <c r="C17" s="14">
        <f t="shared" ref="C17:AM17" si="5">SUM(C18:C26)</f>
        <v>2944146.018024669</v>
      </c>
      <c r="D17" s="14">
        <f t="shared" si="5"/>
        <v>2957662.2242842801</v>
      </c>
      <c r="E17" s="14">
        <f t="shared" si="5"/>
        <v>2958814.8122842801</v>
      </c>
      <c r="F17" s="14">
        <f t="shared" si="5"/>
        <v>2958167.0592842791</v>
      </c>
      <c r="G17" s="14">
        <f t="shared" si="5"/>
        <v>2970852.0891332002</v>
      </c>
      <c r="H17" s="14">
        <f t="shared" si="5"/>
        <v>2973443.4671332003</v>
      </c>
      <c r="I17" s="14">
        <f t="shared" si="5"/>
        <v>2975524.0671331999</v>
      </c>
      <c r="J17" s="14">
        <f t="shared" si="5"/>
        <v>2990947.6063141203</v>
      </c>
      <c r="K17" s="14">
        <f t="shared" si="5"/>
        <v>3000540.8149999995</v>
      </c>
      <c r="L17" s="14">
        <f t="shared" si="5"/>
        <v>3022216.057</v>
      </c>
      <c r="M17" s="14">
        <f t="shared" si="5"/>
        <v>3130498.6059999997</v>
      </c>
      <c r="O17" s="14">
        <f t="shared" si="5"/>
        <v>3126233.0113743204</v>
      </c>
      <c r="P17" s="14">
        <f t="shared" si="5"/>
        <v>3111227.7269999995</v>
      </c>
      <c r="Q17" s="14">
        <f t="shared" si="5"/>
        <v>3127597.8</v>
      </c>
      <c r="R17" s="14">
        <f t="shared" si="5"/>
        <v>3132327.6529999999</v>
      </c>
      <c r="S17" s="14">
        <f t="shared" si="5"/>
        <v>3132607.2070000004</v>
      </c>
      <c r="T17" s="14">
        <f t="shared" si="5"/>
        <v>3143584.810000001</v>
      </c>
      <c r="U17" s="14">
        <f t="shared" si="5"/>
        <v>3160116.9730000007</v>
      </c>
      <c r="V17" s="14">
        <f t="shared" si="5"/>
        <v>3195548.4190000002</v>
      </c>
      <c r="W17" s="14">
        <f t="shared" si="5"/>
        <v>3225631.7319999998</v>
      </c>
      <c r="X17" s="14">
        <f t="shared" si="5"/>
        <v>3280329.7009999999</v>
      </c>
      <c r="Y17" s="14">
        <f t="shared" si="5"/>
        <v>3305361.4760000003</v>
      </c>
      <c r="Z17" s="14">
        <f t="shared" si="5"/>
        <v>3384800.0829999996</v>
      </c>
      <c r="AB17" s="14">
        <f t="shared" si="5"/>
        <v>3393609.7360000005</v>
      </c>
      <c r="AC17" s="14">
        <f t="shared" si="5"/>
        <v>3403133.5900000003</v>
      </c>
      <c r="AD17" s="14">
        <f t="shared" si="5"/>
        <v>3423692.8619999997</v>
      </c>
      <c r="AE17" s="14">
        <f t="shared" si="5"/>
        <v>3445549.6479999996</v>
      </c>
      <c r="AF17" s="14">
        <f t="shared" si="5"/>
        <v>3469819.2199999997</v>
      </c>
      <c r="AG17" s="14">
        <f t="shared" si="5"/>
        <v>3476873.1660000007</v>
      </c>
      <c r="AH17" s="14">
        <f t="shared" si="5"/>
        <v>0</v>
      </c>
      <c r="AI17" s="14">
        <f t="shared" si="5"/>
        <v>0</v>
      </c>
      <c r="AJ17" s="14">
        <f t="shared" si="5"/>
        <v>0</v>
      </c>
      <c r="AK17" s="14">
        <f t="shared" si="5"/>
        <v>0</v>
      </c>
      <c r="AL17" s="14">
        <f t="shared" si="5"/>
        <v>0</v>
      </c>
      <c r="AM17" s="14">
        <f t="shared" si="5"/>
        <v>3581956.5369999991</v>
      </c>
    </row>
    <row r="18" spans="1:39" s="8" customFormat="1" ht="15">
      <c r="A18" s="15" t="s">
        <v>15</v>
      </c>
      <c r="B18" s="16">
        <v>10365.531000000001</v>
      </c>
      <c r="C18" s="16">
        <v>10330.897000000001</v>
      </c>
      <c r="D18" s="16">
        <v>10327.583000000001</v>
      </c>
      <c r="E18" s="16">
        <v>10322.266</v>
      </c>
      <c r="F18" s="16">
        <v>10013.269</v>
      </c>
      <c r="G18" s="16">
        <v>9995.3629999999994</v>
      </c>
      <c r="H18" s="16">
        <v>9706.3870000000006</v>
      </c>
      <c r="I18" s="16">
        <v>9797.5040000000008</v>
      </c>
      <c r="J18" s="16">
        <v>10056.096</v>
      </c>
      <c r="K18" s="16">
        <v>8996.9</v>
      </c>
      <c r="L18" s="16">
        <v>9057.1910000000007</v>
      </c>
      <c r="M18" s="16">
        <v>8167.1360000000004</v>
      </c>
      <c r="O18" s="16">
        <v>8798.2459999999992</v>
      </c>
      <c r="P18" s="16">
        <v>8731.8169999999991</v>
      </c>
      <c r="Q18" s="16">
        <v>21894.664000000001</v>
      </c>
      <c r="R18" s="16">
        <v>18159.232</v>
      </c>
      <c r="S18" s="16">
        <v>14556.37</v>
      </c>
      <c r="T18" s="16">
        <v>10857.555</v>
      </c>
      <c r="U18" s="16">
        <v>8340.0920000000006</v>
      </c>
      <c r="V18" s="16">
        <v>8293.5910000000003</v>
      </c>
      <c r="W18" s="16">
        <v>8544.6650000000009</v>
      </c>
      <c r="X18" s="16">
        <v>9109.3240000000005</v>
      </c>
      <c r="Y18" s="16">
        <v>9178.1859999999997</v>
      </c>
      <c r="Z18" s="16">
        <v>6478.78</v>
      </c>
      <c r="AB18" s="16">
        <v>6329.2340000000004</v>
      </c>
      <c r="AC18" s="16">
        <v>6581.2280000000001</v>
      </c>
      <c r="AD18" s="16">
        <v>6508.5330000000004</v>
      </c>
      <c r="AE18" s="16">
        <v>6592.1570000000002</v>
      </c>
      <c r="AF18" s="16">
        <v>6697.576</v>
      </c>
      <c r="AG18" s="16">
        <v>6606.4920000000002</v>
      </c>
      <c r="AM18" s="16">
        <v>7880.2290000000003</v>
      </c>
    </row>
    <row r="19" spans="1:39" s="8" customFormat="1" ht="15">
      <c r="A19" s="15" t="s">
        <v>16</v>
      </c>
      <c r="B19" s="16">
        <v>2155521.9540000004</v>
      </c>
      <c r="C19" s="16">
        <v>2160717.8129999996</v>
      </c>
      <c r="D19" s="16">
        <v>2173045.8289999999</v>
      </c>
      <c r="E19" s="16">
        <v>2178553.2930000001</v>
      </c>
      <c r="F19" s="16">
        <v>2182796.9669999997</v>
      </c>
      <c r="G19" s="16">
        <v>2194225.9510000004</v>
      </c>
      <c r="H19" s="16">
        <v>2200397.523</v>
      </c>
      <c r="I19" s="16">
        <v>2203734.108</v>
      </c>
      <c r="J19" s="16">
        <v>2212267.91</v>
      </c>
      <c r="K19" s="16">
        <v>2222638.622</v>
      </c>
      <c r="L19" s="16">
        <v>2233633.11</v>
      </c>
      <c r="M19" s="16">
        <v>2296811.7140000002</v>
      </c>
      <c r="O19" s="16">
        <v>2283224.7230000002</v>
      </c>
      <c r="P19" s="16">
        <v>2279799.5090000001</v>
      </c>
      <c r="Q19" s="16">
        <v>2287801.7549999999</v>
      </c>
      <c r="R19" s="16">
        <v>2291453.1839999999</v>
      </c>
      <c r="S19" s="16">
        <v>2293419.639</v>
      </c>
      <c r="T19" s="16">
        <v>2298155.2650000001</v>
      </c>
      <c r="U19" s="16">
        <v>2313396.4879999999</v>
      </c>
      <c r="V19" s="16">
        <v>2341176.0920000002</v>
      </c>
      <c r="W19" s="16">
        <v>2358586.2659999998</v>
      </c>
      <c r="X19" s="16">
        <v>2397364.352</v>
      </c>
      <c r="Y19" s="16">
        <v>2423623.378</v>
      </c>
      <c r="Z19" s="16">
        <v>2525149.8829999999</v>
      </c>
      <c r="AB19" s="16">
        <v>2539960.764</v>
      </c>
      <c r="AC19" s="16">
        <v>2539450.5410000002</v>
      </c>
      <c r="AD19" s="16">
        <v>2554794.2439999999</v>
      </c>
      <c r="AE19" s="16">
        <v>2570483.5329999998</v>
      </c>
      <c r="AF19" s="16">
        <v>2590368.2379999999</v>
      </c>
      <c r="AG19" s="16">
        <v>2596354.2250000001</v>
      </c>
      <c r="AM19" s="16">
        <v>2636959.0240000002</v>
      </c>
    </row>
    <row r="20" spans="1:39" s="8" customFormat="1" ht="15">
      <c r="A20" s="15" t="s">
        <v>17</v>
      </c>
      <c r="B20" s="16">
        <v>274381.73499999999</v>
      </c>
      <c r="C20" s="16">
        <v>267115.31199999998</v>
      </c>
      <c r="D20" s="16">
        <v>258111.774</v>
      </c>
      <c r="E20" s="16">
        <v>253020.64300000001</v>
      </c>
      <c r="F20" s="16">
        <v>249192.44899999999</v>
      </c>
      <c r="G20" s="16">
        <v>244227.36199999999</v>
      </c>
      <c r="H20" s="16">
        <v>238360.75700000001</v>
      </c>
      <c r="I20" s="16">
        <v>232763.99600000001</v>
      </c>
      <c r="J20" s="16">
        <v>226647.32500000001</v>
      </c>
      <c r="K20" s="16">
        <v>223382.533</v>
      </c>
      <c r="L20" s="16">
        <v>225638.85500000001</v>
      </c>
      <c r="M20" s="16">
        <v>234248.84599999999</v>
      </c>
      <c r="O20" s="16">
        <v>233670.96</v>
      </c>
      <c r="P20" s="16">
        <v>229596.429</v>
      </c>
      <c r="Q20" s="16">
        <v>227230.79699999999</v>
      </c>
      <c r="R20" s="16">
        <v>228378.00099999999</v>
      </c>
      <c r="S20" s="16">
        <v>225922.057</v>
      </c>
      <c r="T20" s="16">
        <v>229099.44500000001</v>
      </c>
      <c r="U20" s="16">
        <v>229761.61499999999</v>
      </c>
      <c r="V20" s="16">
        <v>233825.223</v>
      </c>
      <c r="W20" s="16">
        <v>233754.41899999999</v>
      </c>
      <c r="X20" s="16">
        <v>241154.88200000001</v>
      </c>
      <c r="Y20" s="16">
        <v>240385.48</v>
      </c>
      <c r="Z20" s="16">
        <v>258083.04199999999</v>
      </c>
      <c r="AB20" s="16">
        <v>251297.163</v>
      </c>
      <c r="AC20" s="16">
        <v>252769.595</v>
      </c>
      <c r="AD20" s="16">
        <v>249565.87100000001</v>
      </c>
      <c r="AE20" s="16">
        <v>250343.492</v>
      </c>
      <c r="AF20" s="16">
        <v>247802.541</v>
      </c>
      <c r="AG20" s="16">
        <v>247619.75200000001</v>
      </c>
      <c r="AM20" s="16">
        <v>264991.848</v>
      </c>
    </row>
    <row r="21" spans="1:39" s="8" customFormat="1" ht="15">
      <c r="A21" s="15" t="s">
        <v>18</v>
      </c>
      <c r="B21" s="16">
        <v>53099.264000000003</v>
      </c>
      <c r="C21" s="16">
        <v>52465.705999999998</v>
      </c>
      <c r="D21" s="16">
        <v>51469.991000000002</v>
      </c>
      <c r="E21" s="16">
        <v>52232.152000000002</v>
      </c>
      <c r="F21" s="16">
        <v>51479.137999999999</v>
      </c>
      <c r="G21" s="16">
        <v>50804.775999999998</v>
      </c>
      <c r="H21" s="16">
        <v>49621.553</v>
      </c>
      <c r="I21" s="16">
        <v>49203.553999999996</v>
      </c>
      <c r="J21" s="16">
        <v>48378.775000000001</v>
      </c>
      <c r="K21" s="16">
        <v>47861.447999999997</v>
      </c>
      <c r="L21" s="16">
        <v>47091.165999999997</v>
      </c>
      <c r="M21" s="16">
        <v>46219.019</v>
      </c>
      <c r="O21" s="16">
        <v>47083.035000000003</v>
      </c>
      <c r="P21" s="16">
        <v>48198.947999999997</v>
      </c>
      <c r="Q21" s="16">
        <v>46670.201000000001</v>
      </c>
      <c r="R21" s="16">
        <v>45836.614999999998</v>
      </c>
      <c r="S21" s="16">
        <v>45156.474999999999</v>
      </c>
      <c r="T21" s="16">
        <v>44302.557999999997</v>
      </c>
      <c r="U21" s="16">
        <v>44047.557000000001</v>
      </c>
      <c r="V21" s="16">
        <v>43206.94</v>
      </c>
      <c r="W21" s="16">
        <v>43294.828000000001</v>
      </c>
      <c r="X21" s="16">
        <v>43098.385000000002</v>
      </c>
      <c r="Y21" s="16">
        <v>41595.595999999998</v>
      </c>
      <c r="Z21" s="16">
        <v>41744.224000000002</v>
      </c>
      <c r="AB21" s="16">
        <v>42519.131000000001</v>
      </c>
      <c r="AC21" s="16">
        <v>42077.38</v>
      </c>
      <c r="AD21" s="16">
        <v>41539.159</v>
      </c>
      <c r="AE21" s="16">
        <v>40790.800000000003</v>
      </c>
      <c r="AF21" s="16">
        <v>40370.28</v>
      </c>
      <c r="AG21" s="16">
        <v>38620.811000000002</v>
      </c>
      <c r="AM21" s="16">
        <v>34166.82</v>
      </c>
    </row>
    <row r="22" spans="1:39" s="8" customFormat="1" ht="15">
      <c r="A22" s="15" t="s">
        <v>19</v>
      </c>
      <c r="B22" s="16">
        <v>57797.955487650004</v>
      </c>
      <c r="C22" s="16">
        <v>57777.144016350001</v>
      </c>
      <c r="D22" s="16">
        <v>57870.574268960001</v>
      </c>
      <c r="E22" s="16">
        <v>57870.574268960001</v>
      </c>
      <c r="F22" s="16">
        <v>57870.574268960001</v>
      </c>
      <c r="G22" s="16">
        <v>60747.646914879995</v>
      </c>
      <c r="H22" s="16">
        <v>60747.646914879995</v>
      </c>
      <c r="I22" s="16">
        <v>60747.646914879995</v>
      </c>
      <c r="J22" s="16">
        <v>60071.505314120004</v>
      </c>
      <c r="K22" s="16">
        <v>60071.504999999997</v>
      </c>
      <c r="L22" s="16">
        <v>60071.504999999997</v>
      </c>
      <c r="M22" s="16">
        <v>64096.04</v>
      </c>
      <c r="O22" s="16">
        <v>64096.04</v>
      </c>
      <c r="P22" s="16">
        <v>64096.039625680001</v>
      </c>
      <c r="Q22" s="16">
        <v>59994.298999999999</v>
      </c>
      <c r="R22" s="16">
        <v>59994.298999999999</v>
      </c>
      <c r="S22" s="16">
        <v>59994.298999999999</v>
      </c>
      <c r="T22" s="16">
        <v>61101.703000000001</v>
      </c>
      <c r="U22" s="16">
        <v>59462.305</v>
      </c>
      <c r="V22" s="16">
        <v>59462.305</v>
      </c>
      <c r="W22" s="16">
        <v>58079.377999999997</v>
      </c>
      <c r="X22" s="16">
        <v>58079.377999999997</v>
      </c>
      <c r="Y22" s="16">
        <v>59124.578000000001</v>
      </c>
      <c r="Z22" s="16">
        <v>63649.836000000003</v>
      </c>
      <c r="AB22" s="16">
        <v>63649.836000000003</v>
      </c>
      <c r="AC22" s="16">
        <v>63649.836000000003</v>
      </c>
      <c r="AD22" s="16">
        <v>71383.979000000007</v>
      </c>
      <c r="AE22" s="16">
        <v>71383.979000000007</v>
      </c>
      <c r="AF22" s="16">
        <v>71383.979000000007</v>
      </c>
      <c r="AG22" s="16">
        <v>68243.02</v>
      </c>
      <c r="AM22" s="16">
        <v>63243.504999999997</v>
      </c>
    </row>
    <row r="23" spans="1:39" s="8" customFormat="1" ht="15">
      <c r="A23" s="15" t="s">
        <v>20</v>
      </c>
      <c r="B23" s="16">
        <v>1406.4280083199999</v>
      </c>
      <c r="C23" s="16">
        <v>1406.4280083199999</v>
      </c>
      <c r="D23" s="16">
        <v>13910.898015319999</v>
      </c>
      <c r="E23" s="16">
        <v>13910.898015319999</v>
      </c>
      <c r="F23" s="16">
        <v>13910.898015319999</v>
      </c>
      <c r="G23" s="16">
        <v>13455.99621832</v>
      </c>
      <c r="H23" s="16">
        <v>13455.99621832</v>
      </c>
      <c r="I23" s="16">
        <v>13455.99621832</v>
      </c>
      <c r="J23" s="16">
        <v>14447.429</v>
      </c>
      <c r="K23" s="16">
        <v>14447.429</v>
      </c>
      <c r="L23" s="16">
        <v>14447.429</v>
      </c>
      <c r="M23" s="16">
        <v>13275.562</v>
      </c>
      <c r="O23" s="16">
        <v>13275.562374319999</v>
      </c>
      <c r="P23" s="16">
        <v>13275.562374319999</v>
      </c>
      <c r="Q23" s="16">
        <v>12807.425999999999</v>
      </c>
      <c r="R23" s="16">
        <v>12807.425999999999</v>
      </c>
      <c r="S23" s="16">
        <v>12807.425999999999</v>
      </c>
      <c r="T23" s="16">
        <v>10797.555</v>
      </c>
      <c r="U23" s="16">
        <v>10797.555</v>
      </c>
      <c r="V23" s="16">
        <v>10797.555</v>
      </c>
      <c r="W23" s="16">
        <v>10256.766</v>
      </c>
      <c r="X23" s="16">
        <v>10256.766</v>
      </c>
      <c r="Y23" s="16">
        <v>10256.766</v>
      </c>
      <c r="Z23" s="16">
        <v>9096.5429999999997</v>
      </c>
      <c r="AB23" s="16">
        <v>9096.5429999999997</v>
      </c>
      <c r="AC23" s="16">
        <v>9096.5429999999997</v>
      </c>
      <c r="AD23" s="16">
        <v>8466.3320000000003</v>
      </c>
      <c r="AE23" s="16">
        <v>8466.3320000000003</v>
      </c>
      <c r="AF23" s="16">
        <v>8466.3320000000003</v>
      </c>
      <c r="AG23" s="16">
        <v>9701.2049999999999</v>
      </c>
      <c r="AM23" s="16">
        <v>10020.566999999999</v>
      </c>
    </row>
    <row r="24" spans="1:39" s="8" customFormat="1" ht="15">
      <c r="A24" s="15" t="s">
        <v>21</v>
      </c>
      <c r="B24" s="16">
        <v>393284.53</v>
      </c>
      <c r="C24" s="16">
        <v>393284.53</v>
      </c>
      <c r="D24" s="16">
        <v>391924.88699999999</v>
      </c>
      <c r="E24" s="16">
        <v>391924.88699999999</v>
      </c>
      <c r="F24" s="16">
        <v>391924.88699999999</v>
      </c>
      <c r="G24" s="16">
        <v>396393.98200000002</v>
      </c>
      <c r="H24" s="16">
        <v>400311.40399999998</v>
      </c>
      <c r="I24" s="16">
        <v>404838.04</v>
      </c>
      <c r="J24" s="16">
        <v>402257.7</v>
      </c>
      <c r="K24" s="16">
        <v>406269.63400000002</v>
      </c>
      <c r="L24" s="16">
        <v>412565.63</v>
      </c>
      <c r="M24" s="16">
        <v>445845.9</v>
      </c>
      <c r="O24" s="16">
        <v>454251.49800000002</v>
      </c>
      <c r="P24" s="16">
        <v>444539.48</v>
      </c>
      <c r="Q24" s="16">
        <v>443054.68300000002</v>
      </c>
      <c r="R24" s="16">
        <v>444097.22399999999</v>
      </c>
      <c r="S24" s="16">
        <v>447125.136</v>
      </c>
      <c r="T24" s="16">
        <v>453854.15700000001</v>
      </c>
      <c r="U24" s="16">
        <v>457175.98800000001</v>
      </c>
      <c r="V24" s="16">
        <v>460228.52399999998</v>
      </c>
      <c r="W24" s="16">
        <v>472984.04100000003</v>
      </c>
      <c r="X24" s="16">
        <v>480479.68199999997</v>
      </c>
      <c r="Y24" s="16">
        <v>480479.68199999997</v>
      </c>
      <c r="Z24" s="16">
        <v>439386.51799999998</v>
      </c>
      <c r="AB24" s="16">
        <v>439386.51799999998</v>
      </c>
      <c r="AC24" s="16">
        <v>448190.88799999998</v>
      </c>
      <c r="AD24" s="16">
        <v>449719.31099999999</v>
      </c>
      <c r="AE24" s="16">
        <v>455154.23200000002</v>
      </c>
      <c r="AF24" s="16">
        <v>459366.63699999999</v>
      </c>
      <c r="AG24" s="16">
        <v>463777.33899999998</v>
      </c>
      <c r="AM24" s="16">
        <v>513330.46</v>
      </c>
    </row>
    <row r="25" spans="1:39" s="8" customFormat="1" ht="15">
      <c r="A25" s="15" t="s">
        <v>22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>
        <v>20959.785</v>
      </c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>
        <v>40574.817000000003</v>
      </c>
      <c r="AB25" s="16"/>
      <c r="AC25" s="16"/>
      <c r="AD25" s="16"/>
      <c r="AE25" s="16"/>
      <c r="AF25" s="16"/>
      <c r="AG25" s="16"/>
      <c r="AM25" s="16">
        <v>50631.483</v>
      </c>
    </row>
    <row r="26" spans="1:39" s="8" customFormat="1" ht="15">
      <c r="A26" s="15" t="s">
        <v>13</v>
      </c>
      <c r="B26" s="16">
        <v>1008.112</v>
      </c>
      <c r="C26" s="16">
        <v>1048.1880000000001</v>
      </c>
      <c r="D26" s="16">
        <v>1000.688</v>
      </c>
      <c r="E26" s="16">
        <v>980.09900000000005</v>
      </c>
      <c r="F26" s="16">
        <v>978.87699999999995</v>
      </c>
      <c r="G26" s="16">
        <v>1001.0119999999999</v>
      </c>
      <c r="H26" s="16">
        <v>842.2</v>
      </c>
      <c r="I26" s="16">
        <v>983.22199999999998</v>
      </c>
      <c r="J26" s="16">
        <v>16820.866000000002</v>
      </c>
      <c r="K26" s="16">
        <v>16872.743999999999</v>
      </c>
      <c r="L26" s="16">
        <v>19711.170999999998</v>
      </c>
      <c r="M26" s="16">
        <v>874.60399999999936</v>
      </c>
      <c r="O26" s="16">
        <v>21832.947</v>
      </c>
      <c r="P26" s="16">
        <v>22989.941999999999</v>
      </c>
      <c r="Q26" s="16">
        <v>28143.974999999999</v>
      </c>
      <c r="R26" s="16">
        <v>31601.671999999999</v>
      </c>
      <c r="S26" s="16">
        <v>33625.805</v>
      </c>
      <c r="T26" s="16">
        <v>35416.572</v>
      </c>
      <c r="U26" s="16">
        <v>37135.373</v>
      </c>
      <c r="V26" s="16">
        <v>38558.188999999998</v>
      </c>
      <c r="W26" s="16">
        <v>40131.368999999999</v>
      </c>
      <c r="X26" s="16">
        <v>40786.932000000001</v>
      </c>
      <c r="Y26" s="16">
        <v>40717.81</v>
      </c>
      <c r="Z26" s="16">
        <v>636.44000000000005</v>
      </c>
      <c r="AB26" s="16">
        <v>41370.546999999999</v>
      </c>
      <c r="AC26" s="16">
        <v>41317.578999999998</v>
      </c>
      <c r="AD26" s="16">
        <v>41715.432999999997</v>
      </c>
      <c r="AE26" s="16">
        <v>42335.123</v>
      </c>
      <c r="AF26" s="16">
        <v>45363.637000000002</v>
      </c>
      <c r="AG26" s="16">
        <v>45950.322</v>
      </c>
      <c r="AM26" s="16">
        <v>732.601</v>
      </c>
    </row>
    <row r="27" spans="1:39" s="8" customFormat="1" ht="15">
      <c r="A27" s="18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</row>
    <row r="28" spans="1:39" s="8" customFormat="1" ht="15.75">
      <c r="A28" s="9" t="s">
        <v>23</v>
      </c>
      <c r="B28" s="10">
        <f>+B30+B42</f>
        <v>1653523.7509999999</v>
      </c>
      <c r="C28" s="10">
        <f t="shared" ref="C28:Z28" si="6">+C30+C42</f>
        <v>1663557.449</v>
      </c>
      <c r="D28" s="10">
        <f t="shared" si="6"/>
        <v>1683505.466</v>
      </c>
      <c r="E28" s="10">
        <f t="shared" si="6"/>
        <v>1681166.861</v>
      </c>
      <c r="F28" s="10">
        <f t="shared" si="6"/>
        <v>1685886.8739999998</v>
      </c>
      <c r="G28" s="10">
        <f t="shared" si="6"/>
        <v>1720411.0890000002</v>
      </c>
      <c r="H28" s="10">
        <f t="shared" si="6"/>
        <v>1722583.8639999998</v>
      </c>
      <c r="I28" s="10">
        <f t="shared" si="6"/>
        <v>1675174.784</v>
      </c>
      <c r="J28" s="10">
        <f t="shared" si="6"/>
        <v>1505603.193</v>
      </c>
      <c r="K28" s="10">
        <f t="shared" si="6"/>
        <v>1391035.0220000001</v>
      </c>
      <c r="L28" s="10">
        <f t="shared" si="6"/>
        <v>1397969.3509999998</v>
      </c>
      <c r="M28" s="10">
        <f t="shared" si="6"/>
        <v>1693797.5269999998</v>
      </c>
      <c r="O28" s="10">
        <f t="shared" si="6"/>
        <v>1628285.2015180602</v>
      </c>
      <c r="P28" s="10">
        <f t="shared" si="6"/>
        <v>1598258.32658906</v>
      </c>
      <c r="Q28" s="10">
        <f t="shared" si="6"/>
        <v>1557558.8482960598</v>
      </c>
      <c r="R28" s="10">
        <f t="shared" si="6"/>
        <v>1547150.422</v>
      </c>
      <c r="S28" s="10">
        <f t="shared" si="6"/>
        <v>1549307.612</v>
      </c>
      <c r="T28" s="10">
        <f t="shared" si="6"/>
        <v>1580569.2090000003</v>
      </c>
      <c r="U28" s="10">
        <f t="shared" si="6"/>
        <v>1592453.551</v>
      </c>
      <c r="V28" s="10">
        <f t="shared" si="6"/>
        <v>1629131.5349999999</v>
      </c>
      <c r="W28" s="10">
        <f t="shared" si="6"/>
        <v>1543468.5630000003</v>
      </c>
      <c r="X28" s="10">
        <f t="shared" si="6"/>
        <v>1562440.6600000004</v>
      </c>
      <c r="Y28" s="10">
        <f t="shared" si="6"/>
        <v>1918166.3259999999</v>
      </c>
      <c r="Z28" s="10">
        <f t="shared" si="6"/>
        <v>2013534.9449999998</v>
      </c>
      <c r="AB28" s="10">
        <f t="shared" ref="AB28:AM28" si="7">+AB30+AB42</f>
        <v>1678307.0819999999</v>
      </c>
      <c r="AC28" s="10">
        <f t="shared" si="7"/>
        <v>1621238.9820000003</v>
      </c>
      <c r="AD28" s="10">
        <f t="shared" si="7"/>
        <v>1667500.392</v>
      </c>
      <c r="AE28" s="10">
        <f t="shared" si="7"/>
        <v>1687028.5300000003</v>
      </c>
      <c r="AF28" s="10">
        <f t="shared" si="7"/>
        <v>1743417.5349999999</v>
      </c>
      <c r="AG28" s="10">
        <f t="shared" si="7"/>
        <v>1757342.4089999998</v>
      </c>
      <c r="AH28" s="10">
        <f t="shared" si="7"/>
        <v>0</v>
      </c>
      <c r="AI28" s="10">
        <f t="shared" si="7"/>
        <v>0</v>
      </c>
      <c r="AJ28" s="10">
        <f t="shared" si="7"/>
        <v>0</v>
      </c>
      <c r="AK28" s="10">
        <f t="shared" si="7"/>
        <v>0</v>
      </c>
      <c r="AL28" s="10">
        <f t="shared" si="7"/>
        <v>0</v>
      </c>
      <c r="AM28" s="10">
        <f t="shared" si="7"/>
        <v>1916203.5090000001</v>
      </c>
    </row>
    <row r="29" spans="1:39" s="8" customFormat="1" ht="15">
      <c r="A29" s="18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</row>
    <row r="30" spans="1:39" s="8" customFormat="1" ht="15.75">
      <c r="A30" s="13" t="s">
        <v>24</v>
      </c>
      <c r="B30" s="14">
        <f t="shared" ref="B30:Z30" si="8">SUM(B31:B40)</f>
        <v>549820.53</v>
      </c>
      <c r="C30" s="14">
        <f t="shared" si="8"/>
        <v>558475.85</v>
      </c>
      <c r="D30" s="14">
        <f t="shared" si="8"/>
        <v>567400.17000000004</v>
      </c>
      <c r="E30" s="14">
        <f t="shared" si="8"/>
        <v>562632.59100000001</v>
      </c>
      <c r="F30" s="14">
        <f t="shared" si="8"/>
        <v>564449.93400000001</v>
      </c>
      <c r="G30" s="14">
        <f t="shared" si="8"/>
        <v>600894.06700000004</v>
      </c>
      <c r="H30" s="14">
        <f t="shared" si="8"/>
        <v>602056.51699999999</v>
      </c>
      <c r="I30" s="14">
        <f t="shared" si="8"/>
        <v>553295.52999999991</v>
      </c>
      <c r="J30" s="14">
        <f t="shared" si="8"/>
        <v>653710.38500000001</v>
      </c>
      <c r="K30" s="14">
        <f t="shared" si="8"/>
        <v>540171.02800000005</v>
      </c>
      <c r="L30" s="14">
        <f t="shared" si="8"/>
        <v>548025.61600000004</v>
      </c>
      <c r="M30" s="14">
        <f t="shared" si="8"/>
        <v>870037.48100000003</v>
      </c>
      <c r="N30" s="33"/>
      <c r="O30" s="14">
        <f t="shared" si="8"/>
        <v>803735.89</v>
      </c>
      <c r="P30" s="14">
        <f t="shared" si="8"/>
        <v>772043.96400000004</v>
      </c>
      <c r="Q30" s="14">
        <f t="shared" si="8"/>
        <v>1088583.0869999998</v>
      </c>
      <c r="R30" s="14">
        <f t="shared" si="8"/>
        <v>1082682.469</v>
      </c>
      <c r="S30" s="14">
        <f t="shared" si="8"/>
        <v>1086423.747</v>
      </c>
      <c r="T30" s="14">
        <f t="shared" si="8"/>
        <v>1120879.3460000001</v>
      </c>
      <c r="U30" s="14">
        <f t="shared" si="8"/>
        <v>1132926.919</v>
      </c>
      <c r="V30" s="14">
        <f t="shared" si="8"/>
        <v>1173490.486</v>
      </c>
      <c r="W30" s="14">
        <f t="shared" si="8"/>
        <v>1139163.9550000003</v>
      </c>
      <c r="X30" s="14">
        <f t="shared" si="8"/>
        <v>1161237.1810000003</v>
      </c>
      <c r="Y30" s="14">
        <f t="shared" si="8"/>
        <v>996307.52099999995</v>
      </c>
      <c r="Z30" s="14">
        <f t="shared" si="8"/>
        <v>1096568.203</v>
      </c>
      <c r="AB30" s="14">
        <f t="shared" ref="AB30:AM30" si="9">SUM(AB31:AB40)</f>
        <v>660763.25400000007</v>
      </c>
      <c r="AC30" s="14">
        <f t="shared" si="9"/>
        <v>604336.78500000015</v>
      </c>
      <c r="AD30" s="14">
        <f t="shared" si="9"/>
        <v>658676.25900000008</v>
      </c>
      <c r="AE30" s="14">
        <f t="shared" si="9"/>
        <v>681531.76300000004</v>
      </c>
      <c r="AF30" s="14">
        <f t="shared" si="9"/>
        <v>641190.92299999995</v>
      </c>
      <c r="AG30" s="14">
        <f t="shared" si="9"/>
        <v>645809.81400000001</v>
      </c>
      <c r="AH30" s="14">
        <f t="shared" si="9"/>
        <v>0</v>
      </c>
      <c r="AI30" s="14">
        <f t="shared" si="9"/>
        <v>0</v>
      </c>
      <c r="AJ30" s="14">
        <f t="shared" si="9"/>
        <v>0</v>
      </c>
      <c r="AK30" s="14">
        <f t="shared" si="9"/>
        <v>0</v>
      </c>
      <c r="AL30" s="14">
        <f t="shared" si="9"/>
        <v>0</v>
      </c>
      <c r="AM30" s="14">
        <f t="shared" si="9"/>
        <v>626984.95400000003</v>
      </c>
    </row>
    <row r="31" spans="1:39" s="8" customFormat="1" ht="15">
      <c r="A31" s="19" t="s">
        <v>25</v>
      </c>
      <c r="B31" s="16">
        <v>0</v>
      </c>
      <c r="C31" s="16">
        <v>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170000</v>
      </c>
      <c r="O31" s="16">
        <v>170000</v>
      </c>
      <c r="P31" s="16">
        <v>170000</v>
      </c>
      <c r="Q31" s="16">
        <v>170000</v>
      </c>
      <c r="R31" s="16">
        <v>170000</v>
      </c>
      <c r="S31" s="16">
        <v>170000</v>
      </c>
      <c r="T31" s="16">
        <v>170000</v>
      </c>
      <c r="U31" s="16">
        <v>170000</v>
      </c>
      <c r="V31" s="16">
        <v>170000</v>
      </c>
      <c r="W31" s="16">
        <v>170000</v>
      </c>
      <c r="X31" s="16">
        <v>170000</v>
      </c>
      <c r="Y31" s="16">
        <v>0</v>
      </c>
      <c r="Z31" s="16">
        <v>0</v>
      </c>
      <c r="AB31" s="16">
        <v>40000</v>
      </c>
      <c r="AC31" s="16">
        <v>36666.667000000001</v>
      </c>
      <c r="AD31" s="16">
        <v>33333.332999999999</v>
      </c>
      <c r="AE31" s="16">
        <v>30000</v>
      </c>
      <c r="AF31" s="16">
        <v>26666.667000000001</v>
      </c>
      <c r="AG31" s="16">
        <v>12963.405000000001</v>
      </c>
      <c r="AM31" s="16">
        <v>59766.885999999999</v>
      </c>
    </row>
    <row r="32" spans="1:39" s="8" customFormat="1" ht="15">
      <c r="A32" s="31" t="s">
        <v>26</v>
      </c>
      <c r="B32" s="16">
        <v>0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O32" s="16">
        <v>0</v>
      </c>
      <c r="P32" s="16">
        <v>0</v>
      </c>
      <c r="Q32" s="20">
        <v>354074</v>
      </c>
      <c r="R32" s="16">
        <v>354074</v>
      </c>
      <c r="S32" s="16">
        <v>354074</v>
      </c>
      <c r="T32" s="16">
        <v>354074</v>
      </c>
      <c r="U32" s="16">
        <v>354074</v>
      </c>
      <c r="V32" s="16">
        <v>354074</v>
      </c>
      <c r="W32" s="16">
        <v>354074</v>
      </c>
      <c r="X32" s="16">
        <v>354074</v>
      </c>
      <c r="Y32" s="16">
        <v>354074</v>
      </c>
      <c r="Z32" s="16">
        <v>354074</v>
      </c>
      <c r="AM32" s="16"/>
    </row>
    <row r="33" spans="1:39" s="8" customFormat="1" ht="15">
      <c r="A33" s="19" t="s">
        <v>27</v>
      </c>
      <c r="B33" s="16">
        <v>84299.868000000002</v>
      </c>
      <c r="C33" s="16">
        <v>82290.667000000001</v>
      </c>
      <c r="D33" s="16">
        <v>84426.365999999995</v>
      </c>
      <c r="E33" s="16">
        <v>77323.061000000002</v>
      </c>
      <c r="F33" s="16">
        <v>90247.274000000005</v>
      </c>
      <c r="G33" s="16">
        <v>99748.846999999994</v>
      </c>
      <c r="H33" s="16">
        <v>75968.286999999997</v>
      </c>
      <c r="I33" s="16">
        <v>76348.577000000005</v>
      </c>
      <c r="J33" s="16">
        <v>80433.807000000001</v>
      </c>
      <c r="K33" s="16">
        <v>91714.097999999998</v>
      </c>
      <c r="L33" s="16">
        <v>103282.29300000001</v>
      </c>
      <c r="M33" s="16">
        <v>200227.35800000001</v>
      </c>
      <c r="O33" s="16">
        <v>183500.38</v>
      </c>
      <c r="P33" s="16">
        <v>142417.709</v>
      </c>
      <c r="Q33" s="16">
        <v>132522.17599999998</v>
      </c>
      <c r="R33" s="16">
        <v>116767.906</v>
      </c>
      <c r="S33" s="16">
        <v>118157.66899999999</v>
      </c>
      <c r="T33" s="16">
        <v>119809.423</v>
      </c>
      <c r="U33" s="16">
        <v>129173.785</v>
      </c>
      <c r="V33" s="16">
        <v>148333.97500000001</v>
      </c>
      <c r="W33" s="16">
        <v>143170.76500000001</v>
      </c>
      <c r="X33" s="16">
        <v>166714.85800000001</v>
      </c>
      <c r="Y33" s="16">
        <v>165774.67499999999</v>
      </c>
      <c r="Z33" s="16">
        <v>240556.37</v>
      </c>
      <c r="AB33" s="16">
        <v>199757.995</v>
      </c>
      <c r="AC33" s="16">
        <v>155430.52600000001</v>
      </c>
      <c r="AD33" s="16">
        <v>139177.01</v>
      </c>
      <c r="AE33" s="16">
        <v>144545.149</v>
      </c>
      <c r="AF33" s="16">
        <v>122222.644</v>
      </c>
      <c r="AG33" s="16">
        <v>108131.118</v>
      </c>
      <c r="AM33" s="16">
        <v>152663.75599999999</v>
      </c>
    </row>
    <row r="34" spans="1:39" s="8" customFormat="1" ht="15">
      <c r="A34" s="19" t="s">
        <v>28</v>
      </c>
      <c r="B34" s="16">
        <f>178269.856-B36</f>
        <v>167752.54493226</v>
      </c>
      <c r="C34" s="16">
        <f>188149.195-C36</f>
        <v>178168.00597159</v>
      </c>
      <c r="D34" s="16">
        <f>194557.564-D36</f>
        <v>184960.14266448002</v>
      </c>
      <c r="E34" s="16">
        <f>197700.944-E36</f>
        <v>189161.74865063999</v>
      </c>
      <c r="F34" s="16">
        <f>194249-F36</f>
        <v>186070.87984365001</v>
      </c>
      <c r="G34" s="16">
        <f>202476.46-G36</f>
        <v>190071.61575748998</v>
      </c>
      <c r="H34" s="16">
        <f>210450.575-H36</f>
        <v>198498.56390791002</v>
      </c>
      <c r="I34" s="16">
        <f>202919.232-I36</f>
        <v>191973.11602354998</v>
      </c>
      <c r="J34" s="16">
        <f>324728.169-J36</f>
        <v>313826.49324425997</v>
      </c>
      <c r="K34" s="16">
        <f>221162.548-K36</f>
        <v>211188.25509464002</v>
      </c>
      <c r="L34" s="16">
        <f>220276.791-L36</f>
        <v>210966.75469420999</v>
      </c>
      <c r="M34" s="16">
        <f>251750.907-M36</f>
        <v>237887.61966531002</v>
      </c>
      <c r="O34" s="16">
        <v>193485.06606428997</v>
      </c>
      <c r="P34" s="16">
        <v>206901.05422883003</v>
      </c>
      <c r="Q34" s="16">
        <v>178876.41699999999</v>
      </c>
      <c r="R34" s="16">
        <v>191072.726</v>
      </c>
      <c r="S34" s="16">
        <v>172080.231</v>
      </c>
      <c r="T34" s="16">
        <v>182392.976</v>
      </c>
      <c r="U34" s="16">
        <v>184358.90400000001</v>
      </c>
      <c r="V34" s="16">
        <v>185347.74</v>
      </c>
      <c r="W34" s="16">
        <v>195292.15</v>
      </c>
      <c r="X34" s="16">
        <v>196300.30300000001</v>
      </c>
      <c r="Y34" s="16">
        <v>202315.84</v>
      </c>
      <c r="Z34" s="16">
        <v>217602.09400000001</v>
      </c>
      <c r="AB34" s="16">
        <v>167034.274</v>
      </c>
      <c r="AC34" s="16">
        <v>174969.95800000001</v>
      </c>
      <c r="AD34" s="16">
        <v>194744.049</v>
      </c>
      <c r="AE34" s="16">
        <v>205747.41800000001</v>
      </c>
      <c r="AF34" s="16">
        <v>181151.82</v>
      </c>
      <c r="AG34" s="16">
        <v>203103.74600000001</v>
      </c>
      <c r="AM34" s="16">
        <v>224219.60399999999</v>
      </c>
    </row>
    <row r="35" spans="1:39" s="8" customFormat="1" ht="15">
      <c r="A35" s="19" t="s">
        <v>29</v>
      </c>
      <c r="B35" s="16">
        <v>63563.944000000003</v>
      </c>
      <c r="C35" s="16">
        <v>65288.159</v>
      </c>
      <c r="D35" s="16">
        <v>67197.576000000001</v>
      </c>
      <c r="E35" s="16">
        <v>69045.248999999996</v>
      </c>
      <c r="F35" s="16">
        <v>70954.665999999997</v>
      </c>
      <c r="G35" s="16">
        <v>72802.338000000003</v>
      </c>
      <c r="H35" s="16">
        <v>74711.755999999994</v>
      </c>
      <c r="I35" s="16">
        <v>76621.172999999995</v>
      </c>
      <c r="J35" s="16">
        <v>55988.02</v>
      </c>
      <c r="K35" s="16">
        <v>58312.195</v>
      </c>
      <c r="L35" s="16">
        <v>60561.137999999999</v>
      </c>
      <c r="M35" s="16">
        <v>62885.313000000002</v>
      </c>
      <c r="O35" s="16">
        <v>65209.487999999998</v>
      </c>
      <c r="P35" s="16">
        <v>67308.017000000007</v>
      </c>
      <c r="Q35" s="16">
        <v>69556.960000000006</v>
      </c>
      <c r="R35" s="16">
        <v>71881.134999999995</v>
      </c>
      <c r="S35" s="16">
        <v>74205.31</v>
      </c>
      <c r="T35" s="16">
        <v>76454.252999999997</v>
      </c>
      <c r="U35" s="16">
        <v>78778.428</v>
      </c>
      <c r="V35" s="16">
        <v>89541.603000000003</v>
      </c>
      <c r="W35" s="16">
        <v>55988.02</v>
      </c>
      <c r="X35" s="16">
        <v>60524.89</v>
      </c>
      <c r="Y35" s="16">
        <v>62548.902000000002</v>
      </c>
      <c r="Z35" s="16">
        <v>65944.22</v>
      </c>
      <c r="AB35" s="16">
        <v>69381.195999999996</v>
      </c>
      <c r="AC35" s="16">
        <v>72521.789999999994</v>
      </c>
      <c r="AD35" s="16">
        <v>76039.466</v>
      </c>
      <c r="AE35" s="16">
        <v>79484.755999999994</v>
      </c>
      <c r="AF35" s="16">
        <v>83087.876000000004</v>
      </c>
      <c r="AG35" s="16">
        <v>86616.837</v>
      </c>
      <c r="AM35" s="16">
        <v>36652.262000000002</v>
      </c>
    </row>
    <row r="36" spans="1:39" s="8" customFormat="1" ht="15">
      <c r="A36" s="19" t="s">
        <v>30</v>
      </c>
      <c r="B36" s="16">
        <v>10517.31106774</v>
      </c>
      <c r="C36" s="16">
        <v>9981.1890284099991</v>
      </c>
      <c r="D36" s="16">
        <v>9597.4213355200009</v>
      </c>
      <c r="E36" s="16">
        <v>8539.1953493599995</v>
      </c>
      <c r="F36" s="16">
        <v>8178.1201563500008</v>
      </c>
      <c r="G36" s="16">
        <v>12404.84424251</v>
      </c>
      <c r="H36" s="16">
        <v>11952.011092090001</v>
      </c>
      <c r="I36" s="16">
        <v>10946.115976450001</v>
      </c>
      <c r="J36" s="16">
        <v>10901.67575574</v>
      </c>
      <c r="K36" s="16">
        <v>9974.2929053600001</v>
      </c>
      <c r="L36" s="16">
        <v>9310.0363057900013</v>
      </c>
      <c r="M36" s="16">
        <v>13863.287334690001</v>
      </c>
      <c r="O36" s="16">
        <v>13393.75593571</v>
      </c>
      <c r="P36" s="16">
        <v>12663.720771169999</v>
      </c>
      <c r="Q36" s="16">
        <v>14663.584999999999</v>
      </c>
      <c r="R36" s="16">
        <v>14086.456</v>
      </c>
      <c r="S36" s="16">
        <v>13338.986000000001</v>
      </c>
      <c r="T36" s="16">
        <v>14563.201999999999</v>
      </c>
      <c r="U36" s="16">
        <v>14640.816000000001</v>
      </c>
      <c r="V36" s="16">
        <v>13338.558000000001</v>
      </c>
      <c r="W36" s="16">
        <v>12904.963</v>
      </c>
      <c r="X36" s="16">
        <v>12244.101000000001</v>
      </c>
      <c r="Y36" s="16">
        <v>11509.366</v>
      </c>
      <c r="Z36" s="16">
        <v>14919.425999999999</v>
      </c>
      <c r="AB36" s="16">
        <v>13690.415999999999</v>
      </c>
      <c r="AC36" s="16">
        <v>13337.334000000001</v>
      </c>
      <c r="AD36" s="16">
        <v>14966.884</v>
      </c>
      <c r="AE36" s="16">
        <v>14010.851000000001</v>
      </c>
      <c r="AF36" s="16">
        <v>13676.088</v>
      </c>
      <c r="AG36" s="16">
        <v>13315.986000000001</v>
      </c>
      <c r="AM36" s="16">
        <v>14186.745000000001</v>
      </c>
    </row>
    <row r="37" spans="1:39" s="8" customFormat="1" ht="15">
      <c r="A37" s="19" t="s">
        <v>31</v>
      </c>
      <c r="B37" s="16">
        <f>156396.587-B38-B39</f>
        <v>71024.704115850007</v>
      </c>
      <c r="C37" s="16">
        <f>155470.206-C38-C39</f>
        <v>69237.524974009997</v>
      </c>
      <c r="D37" s="16">
        <f>152711.118-D38-D39</f>
        <v>73558.413157089977</v>
      </c>
      <c r="E37" s="16">
        <f>151620.705-E38-E39</f>
        <v>69714.851251389991</v>
      </c>
      <c r="F37" s="16">
        <f>147366.584-F38-F39</f>
        <v>72660.713735370009</v>
      </c>
      <c r="G37" s="16">
        <f>164375.27-G38-G39</f>
        <v>70030.559663899985</v>
      </c>
      <c r="H37" s="16">
        <f>178982.49-H38-H39</f>
        <v>72732.760013139996</v>
      </c>
      <c r="I37" s="16">
        <f>149431.37-I38-I39</f>
        <v>77618.335831849996</v>
      </c>
      <c r="J37" s="16">
        <f>146501.826-J38-J39</f>
        <v>81849.505360030002</v>
      </c>
      <c r="K37" s="16">
        <f>122667.497-K38-K39</f>
        <v>84429.86088704002</v>
      </c>
      <c r="L37" s="16">
        <f>117072.784-L38-L39</f>
        <v>86663.169009560006</v>
      </c>
      <c r="M37" s="16">
        <f>117416.378-M38-M39</f>
        <v>77745.876179260013</v>
      </c>
      <c r="N37" s="33"/>
      <c r="O37" s="16">
        <v>73720.984405189985</v>
      </c>
      <c r="P37" s="16">
        <v>72107.419503209996</v>
      </c>
      <c r="Q37" s="16">
        <v>76460.625013000012</v>
      </c>
      <c r="R37" s="16">
        <v>69560.551999999996</v>
      </c>
      <c r="S37" s="16">
        <v>72707.702999999994</v>
      </c>
      <c r="T37" s="16">
        <v>68315.308000000005</v>
      </c>
      <c r="U37" s="16">
        <v>70627.710999999996</v>
      </c>
      <c r="V37" s="16">
        <v>82400.926000000007</v>
      </c>
      <c r="W37" s="16">
        <v>83467.210999999996</v>
      </c>
      <c r="X37" s="16">
        <v>83531.319000000003</v>
      </c>
      <c r="Y37" s="16">
        <v>83408.876999999993</v>
      </c>
      <c r="Z37" s="16">
        <v>53648.84</v>
      </c>
      <c r="AB37" s="16">
        <v>46962.527000000002</v>
      </c>
      <c r="AC37" s="16">
        <v>45658.993000000002</v>
      </c>
      <c r="AD37" s="16">
        <v>53584.953999999998</v>
      </c>
      <c r="AE37" s="16">
        <v>55880.654999999999</v>
      </c>
      <c r="AF37" s="16">
        <v>58599.957000000002</v>
      </c>
      <c r="AG37" s="16">
        <v>55061.112000000001</v>
      </c>
      <c r="AM37" s="16">
        <v>66317.832999999999</v>
      </c>
    </row>
    <row r="38" spans="1:39" s="8" customFormat="1" ht="15">
      <c r="A38" s="19" t="s">
        <v>32</v>
      </c>
      <c r="B38" s="16">
        <v>68924.027133759999</v>
      </c>
      <c r="C38" s="16">
        <v>79046.792967600006</v>
      </c>
      <c r="D38" s="16">
        <v>72376.879932520009</v>
      </c>
      <c r="E38" s="16">
        <v>75180.02883784</v>
      </c>
      <c r="F38" s="16">
        <v>68240.565838859999</v>
      </c>
      <c r="G38" s="16">
        <v>87982.315153100004</v>
      </c>
      <c r="H38" s="16">
        <v>99896.112833859996</v>
      </c>
      <c r="I38" s="16">
        <v>66785.44817715</v>
      </c>
      <c r="J38" s="16">
        <v>59860.252670970003</v>
      </c>
      <c r="K38" s="16">
        <v>33388.740219959996</v>
      </c>
      <c r="L38" s="16">
        <v>25819.19922744</v>
      </c>
      <c r="M38" s="16">
        <v>35431.043675739995</v>
      </c>
      <c r="O38" s="16">
        <v>31689.465423810001</v>
      </c>
      <c r="P38" s="16">
        <v>37094.04132579</v>
      </c>
      <c r="Q38" s="16">
        <v>34809.118000000002</v>
      </c>
      <c r="R38" s="16">
        <v>32516.795999999998</v>
      </c>
      <c r="S38" s="16">
        <v>51328.493999999999</v>
      </c>
      <c r="T38" s="16">
        <v>71208.706000000006</v>
      </c>
      <c r="U38" s="16">
        <v>67535.456999999995</v>
      </c>
      <c r="V38" s="16">
        <v>77945.593999999997</v>
      </c>
      <c r="W38" s="16">
        <v>69891.92</v>
      </c>
      <c r="X38" s="16">
        <v>33784.830999999998</v>
      </c>
      <c r="Y38" s="16">
        <v>32018.707999999999</v>
      </c>
      <c r="Z38" s="16">
        <v>39920.959000000003</v>
      </c>
      <c r="AB38" s="16">
        <v>25521.527999999998</v>
      </c>
      <c r="AC38" s="16">
        <v>35908.474000000002</v>
      </c>
      <c r="AD38" s="16">
        <v>34506.387999999999</v>
      </c>
      <c r="AE38" s="16">
        <v>34955.008000000002</v>
      </c>
      <c r="AF38" s="16">
        <v>29289.65</v>
      </c>
      <c r="AG38" s="16">
        <v>42643.44</v>
      </c>
      <c r="AM38" s="16">
        <v>49259.858</v>
      </c>
    </row>
    <row r="39" spans="1:39" s="8" customFormat="1" ht="15">
      <c r="A39" s="19" t="s">
        <v>33</v>
      </c>
      <c r="B39" s="16">
        <v>16447.855750390001</v>
      </c>
      <c r="C39" s="16">
        <v>7185.88805839</v>
      </c>
      <c r="D39" s="16">
        <v>6775.8249103900007</v>
      </c>
      <c r="E39" s="16">
        <v>6725.8249107700003</v>
      </c>
      <c r="F39" s="16">
        <v>6465.3044257700003</v>
      </c>
      <c r="G39" s="16">
        <v>6362.3951829999996</v>
      </c>
      <c r="H39" s="16">
        <v>6353.6171530000001</v>
      </c>
      <c r="I39" s="16">
        <v>5027.5859909999999</v>
      </c>
      <c r="J39" s="16">
        <v>4792.0679689999997</v>
      </c>
      <c r="K39" s="16">
        <v>4848.8958929999999</v>
      </c>
      <c r="L39" s="16">
        <v>4590.415763</v>
      </c>
      <c r="M39" s="16">
        <v>4239.4581449999996</v>
      </c>
      <c r="O39" s="16">
        <v>4517.0901709999998</v>
      </c>
      <c r="P39" s="16">
        <v>4517.0901709999998</v>
      </c>
      <c r="Q39" s="16">
        <v>4560.7739869999996</v>
      </c>
      <c r="R39" s="16">
        <v>4651.9250000000002</v>
      </c>
      <c r="S39" s="16">
        <v>4434.5820000000003</v>
      </c>
      <c r="T39" s="16">
        <v>5007.9989999999998</v>
      </c>
      <c r="U39" s="16">
        <v>5024.9989999999998</v>
      </c>
      <c r="V39" s="16">
        <v>4951.7560000000003</v>
      </c>
      <c r="W39" s="16">
        <v>4639.0559999999996</v>
      </c>
      <c r="X39" s="16">
        <v>4744.0559999999996</v>
      </c>
      <c r="Y39" s="16">
        <v>4746.5559999999996</v>
      </c>
      <c r="Z39" s="16">
        <v>5131.2889999999998</v>
      </c>
      <c r="AB39" s="16">
        <v>4451.2889999999998</v>
      </c>
      <c r="AC39" s="16">
        <v>4392.3389999999999</v>
      </c>
      <c r="AD39" s="16">
        <v>4434.8360000000002</v>
      </c>
      <c r="AE39" s="16">
        <v>4434.835</v>
      </c>
      <c r="AF39" s="16">
        <v>3962.835</v>
      </c>
      <c r="AG39" s="16">
        <v>3962.835</v>
      </c>
      <c r="AM39" s="16">
        <v>2613.096</v>
      </c>
    </row>
    <row r="40" spans="1:39" s="8" customFormat="1" ht="15">
      <c r="A40" s="19" t="s">
        <v>34</v>
      </c>
      <c r="B40" s="16">
        <v>67290.274999999994</v>
      </c>
      <c r="C40" s="16">
        <v>67277.623000000007</v>
      </c>
      <c r="D40" s="16">
        <v>68507.546000000002</v>
      </c>
      <c r="E40" s="16">
        <v>66942.631999999998</v>
      </c>
      <c r="F40" s="16">
        <v>61632.41</v>
      </c>
      <c r="G40" s="16">
        <v>61491.152000000002</v>
      </c>
      <c r="H40" s="16">
        <v>61943.409</v>
      </c>
      <c r="I40" s="16">
        <v>47975.178</v>
      </c>
      <c r="J40" s="16">
        <v>46058.563000000002</v>
      </c>
      <c r="K40" s="16">
        <v>46314.69</v>
      </c>
      <c r="L40" s="16">
        <v>46832.61</v>
      </c>
      <c r="M40" s="16">
        <v>67757.524999999994</v>
      </c>
      <c r="O40" s="16">
        <v>68219.66</v>
      </c>
      <c r="P40" s="16">
        <v>59034.911999999997</v>
      </c>
      <c r="Q40" s="16">
        <v>53059.432000000001</v>
      </c>
      <c r="R40" s="16">
        <v>58070.972999999998</v>
      </c>
      <c r="S40" s="16">
        <v>56096.771999999997</v>
      </c>
      <c r="T40" s="16">
        <v>59053.478999999999</v>
      </c>
      <c r="U40" s="16">
        <v>58712.819000000003</v>
      </c>
      <c r="V40" s="16">
        <v>47556.334000000003</v>
      </c>
      <c r="W40" s="16">
        <v>49735.87</v>
      </c>
      <c r="X40" s="16">
        <v>79318.823000000004</v>
      </c>
      <c r="Y40" s="16">
        <v>79910.596999999994</v>
      </c>
      <c r="Z40" s="16">
        <v>104771.005</v>
      </c>
      <c r="AA40" s="33"/>
      <c r="AB40" s="16">
        <v>93964.028999999995</v>
      </c>
      <c r="AC40" s="16">
        <v>65450.703999999998</v>
      </c>
      <c r="AD40" s="16">
        <v>107889.33900000001</v>
      </c>
      <c r="AE40" s="16">
        <v>112473.091</v>
      </c>
      <c r="AF40" s="16">
        <v>122533.386</v>
      </c>
      <c r="AG40" s="16">
        <v>120011.33500000001</v>
      </c>
      <c r="AM40" s="16">
        <v>21304.914000000001</v>
      </c>
    </row>
    <row r="41" spans="1:39" s="8" customFormat="1" ht="15">
      <c r="A41" s="18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</row>
    <row r="42" spans="1:39" s="8" customFormat="1" ht="15.75">
      <c r="A42" s="13" t="s">
        <v>35</v>
      </c>
      <c r="B42" s="14">
        <f>SUM(B44:B49)</f>
        <v>1103703.2209999999</v>
      </c>
      <c r="C42" s="14">
        <f t="shared" ref="C42:L42" si="10">SUM(C44:C49)</f>
        <v>1105081.5989999999</v>
      </c>
      <c r="D42" s="14">
        <f t="shared" si="10"/>
        <v>1116105.2960000001</v>
      </c>
      <c r="E42" s="14">
        <f t="shared" si="10"/>
        <v>1118534.27</v>
      </c>
      <c r="F42" s="14">
        <f t="shared" si="10"/>
        <v>1121436.94</v>
      </c>
      <c r="G42" s="14">
        <f t="shared" si="10"/>
        <v>1119517.0220000001</v>
      </c>
      <c r="H42" s="14">
        <f t="shared" si="10"/>
        <v>1120527.3469999998</v>
      </c>
      <c r="I42" s="14">
        <f t="shared" si="10"/>
        <v>1121879.254</v>
      </c>
      <c r="J42" s="14">
        <f t="shared" si="10"/>
        <v>851892.80800000008</v>
      </c>
      <c r="K42" s="14">
        <f t="shared" si="10"/>
        <v>850863.99400000006</v>
      </c>
      <c r="L42" s="14">
        <f t="shared" si="10"/>
        <v>849943.73499999987</v>
      </c>
      <c r="M42" s="14">
        <f>SUM(M43:M49)</f>
        <v>823760.04599999986</v>
      </c>
      <c r="O42" s="14">
        <f t="shared" ref="O42:Z42" si="11">SUM(O43:O49)</f>
        <v>824549.31151806004</v>
      </c>
      <c r="P42" s="14">
        <f t="shared" si="11"/>
        <v>826214.3625890601</v>
      </c>
      <c r="Q42" s="14">
        <f t="shared" si="11"/>
        <v>468975.76129605999</v>
      </c>
      <c r="R42" s="14">
        <f t="shared" si="11"/>
        <v>464467.95299999998</v>
      </c>
      <c r="S42" s="14">
        <f t="shared" si="11"/>
        <v>462883.86499999993</v>
      </c>
      <c r="T42" s="14">
        <f t="shared" si="11"/>
        <v>459689.86300000001</v>
      </c>
      <c r="U42" s="14">
        <f t="shared" si="11"/>
        <v>459526.63200000004</v>
      </c>
      <c r="V42" s="14">
        <f t="shared" si="11"/>
        <v>455641.04899999994</v>
      </c>
      <c r="W42" s="14">
        <f t="shared" si="11"/>
        <v>404304.60799999995</v>
      </c>
      <c r="X42" s="14">
        <f t="shared" si="11"/>
        <v>401203.47900000005</v>
      </c>
      <c r="Y42" s="14">
        <f t="shared" si="11"/>
        <v>921858.80500000005</v>
      </c>
      <c r="Z42" s="14">
        <f t="shared" si="11"/>
        <v>916966.74199999985</v>
      </c>
      <c r="AB42" s="14">
        <f t="shared" ref="AB42" si="12">SUM(AB43:AB49)</f>
        <v>1017543.828</v>
      </c>
      <c r="AC42" s="14">
        <f t="shared" ref="AC42" si="13">SUM(AC43:AC49)</f>
        <v>1016902.197</v>
      </c>
      <c r="AD42" s="14">
        <f t="shared" ref="AD42" si="14">SUM(AD43:AD49)</f>
        <v>1008824.133</v>
      </c>
      <c r="AE42" s="14">
        <f t="shared" ref="AE42" si="15">SUM(AE43:AE49)</f>
        <v>1005496.7670000001</v>
      </c>
      <c r="AF42" s="14">
        <f t="shared" ref="AF42" si="16">SUM(AF43:AF49)</f>
        <v>1102226.612</v>
      </c>
      <c r="AG42" s="14">
        <f t="shared" ref="AG42" si="17">SUM(AG43:AG49)</f>
        <v>1111532.5949999997</v>
      </c>
      <c r="AH42" s="14">
        <f t="shared" ref="AH42" si="18">SUM(AH43:AH49)</f>
        <v>0</v>
      </c>
      <c r="AI42" s="14">
        <f t="shared" ref="AI42" si="19">SUM(AI43:AI49)</f>
        <v>0</v>
      </c>
      <c r="AJ42" s="14">
        <f t="shared" ref="AJ42" si="20">SUM(AJ43:AJ49)</f>
        <v>0</v>
      </c>
      <c r="AK42" s="14">
        <f t="shared" ref="AK42" si="21">SUM(AK43:AK49)</f>
        <v>0</v>
      </c>
      <c r="AL42" s="14">
        <f t="shared" ref="AL42" si="22">SUM(AL43:AL49)</f>
        <v>0</v>
      </c>
      <c r="AM42" s="14">
        <f t="shared" ref="AM42" si="23">SUM(AM43:AM49)</f>
        <v>1289218.5549999999</v>
      </c>
    </row>
    <row r="43" spans="1:39" s="8" customFormat="1" ht="15">
      <c r="A43" s="19" t="s">
        <v>25</v>
      </c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O43" s="105">
        <v>0</v>
      </c>
      <c r="P43" s="105">
        <v>0</v>
      </c>
      <c r="Q43" s="105">
        <v>0</v>
      </c>
      <c r="R43" s="105">
        <v>0</v>
      </c>
      <c r="S43" s="105">
        <v>0</v>
      </c>
      <c r="T43" s="105">
        <v>0</v>
      </c>
      <c r="U43" s="105">
        <v>0</v>
      </c>
      <c r="V43" s="105">
        <v>0</v>
      </c>
      <c r="W43" s="105">
        <v>0</v>
      </c>
      <c r="X43" s="105">
        <v>0</v>
      </c>
      <c r="Y43" s="105">
        <v>524000</v>
      </c>
      <c r="Z43" s="105">
        <v>524000</v>
      </c>
      <c r="AB43" s="20">
        <v>624000</v>
      </c>
      <c r="AC43" s="20">
        <v>624000</v>
      </c>
      <c r="AD43" s="20">
        <v>624000</v>
      </c>
      <c r="AE43" s="20">
        <v>624000</v>
      </c>
      <c r="AF43" s="20">
        <v>724000</v>
      </c>
      <c r="AG43" s="20">
        <v>724000</v>
      </c>
      <c r="AM43" s="16">
        <v>717975</v>
      </c>
    </row>
    <row r="44" spans="1:39" s="8" customFormat="1" ht="15">
      <c r="A44" s="31" t="s">
        <v>26</v>
      </c>
      <c r="B44" s="20">
        <v>354074</v>
      </c>
      <c r="C44" s="20">
        <v>354074</v>
      </c>
      <c r="D44" s="20">
        <v>354074</v>
      </c>
      <c r="E44" s="20">
        <v>354074</v>
      </c>
      <c r="F44" s="20">
        <v>354074</v>
      </c>
      <c r="G44" s="20">
        <v>354074</v>
      </c>
      <c r="H44" s="20">
        <v>354074</v>
      </c>
      <c r="I44" s="20">
        <v>354074</v>
      </c>
      <c r="J44" s="20">
        <v>354074</v>
      </c>
      <c r="K44" s="20">
        <v>354074</v>
      </c>
      <c r="L44" s="20">
        <v>354074</v>
      </c>
      <c r="M44" s="20">
        <v>354074</v>
      </c>
      <c r="O44" s="105">
        <v>354074</v>
      </c>
      <c r="P44" s="105">
        <v>354074</v>
      </c>
      <c r="Q44" s="105">
        <v>0</v>
      </c>
      <c r="R44" s="105">
        <v>0</v>
      </c>
      <c r="S44" s="105">
        <v>0</v>
      </c>
      <c r="T44" s="105">
        <v>0</v>
      </c>
      <c r="U44" s="105">
        <v>0</v>
      </c>
      <c r="V44" s="105">
        <v>0</v>
      </c>
      <c r="W44" s="105">
        <v>0</v>
      </c>
      <c r="X44" s="105">
        <v>0</v>
      </c>
      <c r="Y44" s="105">
        <v>0</v>
      </c>
      <c r="Z44" s="105">
        <v>0</v>
      </c>
      <c r="AB44" s="20">
        <v>0</v>
      </c>
      <c r="AC44" s="20">
        <v>0</v>
      </c>
      <c r="AD44" s="20">
        <v>0</v>
      </c>
      <c r="AE44" s="20">
        <v>0</v>
      </c>
      <c r="AF44" s="20">
        <v>0</v>
      </c>
      <c r="AG44" s="20">
        <v>0</v>
      </c>
      <c r="AM44" s="20">
        <v>0</v>
      </c>
    </row>
    <row r="45" spans="1:39" s="8" customFormat="1" ht="15">
      <c r="A45" s="31" t="s">
        <v>36</v>
      </c>
      <c r="B45" s="20">
        <f>371255.022-B48</f>
        <v>154422.48436582999</v>
      </c>
      <c r="C45" s="20">
        <f>372095.958-C48</f>
        <v>154396.66541482997</v>
      </c>
      <c r="D45" s="20">
        <f>382896.968-D48</f>
        <v>154305.89124482998</v>
      </c>
      <c r="E45" s="20">
        <f>383255.247-E48</f>
        <v>153723.39796082996</v>
      </c>
      <c r="F45" s="20">
        <f>385680.61-F48</f>
        <v>153325.21527482997</v>
      </c>
      <c r="G45" s="20">
        <f>388203.783-G48</f>
        <v>152990.80350899999</v>
      </c>
      <c r="H45" s="20">
        <f>389092.184-H48</f>
        <v>152611.860992</v>
      </c>
      <c r="I45" s="20">
        <f>389526.903-I48</f>
        <v>152217.469105</v>
      </c>
      <c r="J45" s="20">
        <f>181141.595-J48</f>
        <v>151681.28228400002</v>
      </c>
      <c r="K45" s="20">
        <f>180129.211-K48</f>
        <v>150558.898284</v>
      </c>
      <c r="L45" s="20">
        <f>179464.599-L48</f>
        <v>149739.28628399997</v>
      </c>
      <c r="M45" s="20">
        <f>158539.505-M48</f>
        <v>128143.007513</v>
      </c>
      <c r="N45" s="33"/>
      <c r="O45" s="105">
        <v>127573.74103106</v>
      </c>
      <c r="P45" s="105">
        <v>127615.07410206</v>
      </c>
      <c r="Q45" s="105">
        <v>127580.87521806</v>
      </c>
      <c r="R45" s="105">
        <v>127237.98299999999</v>
      </c>
      <c r="S45" s="105">
        <v>126074.86199999999</v>
      </c>
      <c r="T45" s="105">
        <v>125518.44899999999</v>
      </c>
      <c r="U45" s="105">
        <v>124272.827</v>
      </c>
      <c r="V45" s="105">
        <v>122262.72500000001</v>
      </c>
      <c r="W45" s="105">
        <v>120927.315</v>
      </c>
      <c r="X45" s="105">
        <v>119812.917</v>
      </c>
      <c r="Y45" s="105">
        <v>117518.959</v>
      </c>
      <c r="Z45" s="105">
        <v>115302.2</v>
      </c>
      <c r="AB45" s="20">
        <v>115392.357</v>
      </c>
      <c r="AC45" s="20">
        <v>114280.06</v>
      </c>
      <c r="AD45" s="20">
        <v>114004.057</v>
      </c>
      <c r="AE45" s="20">
        <v>113064.02899999999</v>
      </c>
      <c r="AF45" s="20">
        <v>110771.95299999999</v>
      </c>
      <c r="AG45" s="20">
        <v>109222.24400000001</v>
      </c>
      <c r="AM45" s="20">
        <v>130018.776</v>
      </c>
    </row>
    <row r="46" spans="1:39" s="8" customFormat="1" ht="15">
      <c r="A46" s="31" t="s">
        <v>29</v>
      </c>
      <c r="B46" s="20">
        <v>329133.79599999997</v>
      </c>
      <c r="C46" s="20">
        <v>329574.25400000002</v>
      </c>
      <c r="D46" s="20">
        <v>330075.429</v>
      </c>
      <c r="E46" s="20">
        <v>330574.66899999999</v>
      </c>
      <c r="F46" s="20">
        <v>331105.033</v>
      </c>
      <c r="G46" s="20">
        <v>331632.68900000001</v>
      </c>
      <c r="H46" s="20">
        <v>332192.59499999997</v>
      </c>
      <c r="I46" s="20">
        <v>332767.65100000001</v>
      </c>
      <c r="J46" s="20">
        <v>271245.06800000003</v>
      </c>
      <c r="K46" s="20">
        <v>270956.24699999997</v>
      </c>
      <c r="L46" s="20">
        <v>270689.12800000003</v>
      </c>
      <c r="M46" s="20">
        <v>270425.44300000003</v>
      </c>
      <c r="O46" s="105">
        <v>270174.65100000001</v>
      </c>
      <c r="P46" s="105">
        <v>269960.005</v>
      </c>
      <c r="Q46" s="105">
        <v>269809.20799999998</v>
      </c>
      <c r="R46" s="105">
        <v>269527.995</v>
      </c>
      <c r="S46" s="105">
        <v>269327.87699999998</v>
      </c>
      <c r="T46" s="105">
        <v>269147.12699999998</v>
      </c>
      <c r="U46" s="105">
        <v>268973.24</v>
      </c>
      <c r="V46" s="105">
        <v>268812.80900000001</v>
      </c>
      <c r="W46" s="105">
        <v>217675.87299999999</v>
      </c>
      <c r="X46" s="105">
        <v>215085.47700000001</v>
      </c>
      <c r="Y46" s="105">
        <v>214958.954</v>
      </c>
      <c r="Z46" s="105">
        <v>213474.28099999999</v>
      </c>
      <c r="AB46" s="20">
        <v>212089.93100000001</v>
      </c>
      <c r="AC46" s="20">
        <v>210757.83600000001</v>
      </c>
      <c r="AD46" s="20">
        <v>209256.079</v>
      </c>
      <c r="AE46" s="20">
        <v>207775.432</v>
      </c>
      <c r="AF46" s="20">
        <v>206216.77</v>
      </c>
      <c r="AG46" s="20">
        <v>218279.829</v>
      </c>
      <c r="AM46" s="20">
        <v>291770.35600000003</v>
      </c>
    </row>
    <row r="47" spans="1:39" s="8" customFormat="1" ht="15">
      <c r="A47" s="19" t="s">
        <v>30</v>
      </c>
      <c r="B47" s="16">
        <v>46996.447440570002</v>
      </c>
      <c r="C47" s="16">
        <v>47093.728239999997</v>
      </c>
      <c r="D47" s="16">
        <v>46815.322962769998</v>
      </c>
      <c r="E47" s="16">
        <v>48386.777810379994</v>
      </c>
      <c r="F47" s="16">
        <v>48372.907776109998</v>
      </c>
      <c r="G47" s="16">
        <v>43404.151932460001</v>
      </c>
      <c r="H47" s="16">
        <v>42966.919634209997</v>
      </c>
      <c r="I47" s="16">
        <v>43309.223933699999</v>
      </c>
      <c r="J47" s="16">
        <v>43229.076359080005</v>
      </c>
      <c r="K47" s="16">
        <v>43501.46805507</v>
      </c>
      <c r="L47" s="16">
        <v>43513.244064190003</v>
      </c>
      <c r="M47" s="16">
        <v>38544.657677360003</v>
      </c>
      <c r="O47" s="105">
        <v>40153.981122620004</v>
      </c>
      <c r="P47" s="105">
        <v>42057.345359589999</v>
      </c>
      <c r="Q47" s="105">
        <v>38460.143992329999</v>
      </c>
      <c r="R47" s="105">
        <v>38393.25</v>
      </c>
      <c r="S47" s="105">
        <v>38483.14</v>
      </c>
      <c r="T47" s="105">
        <v>36432.161999999997</v>
      </c>
      <c r="U47" s="105">
        <v>36969.883999999998</v>
      </c>
      <c r="V47" s="105">
        <v>36892.589999999997</v>
      </c>
      <c r="W47" s="105">
        <v>37574.788</v>
      </c>
      <c r="X47" s="105">
        <v>38227.896999999997</v>
      </c>
      <c r="Y47" s="105">
        <v>37566.095999999998</v>
      </c>
      <c r="Z47" s="105">
        <v>34652.720999999998</v>
      </c>
      <c r="AB47" s="16">
        <v>36199.728999999999</v>
      </c>
      <c r="AC47" s="16">
        <v>36544.076000000001</v>
      </c>
      <c r="AD47" s="16">
        <v>34595.671999999999</v>
      </c>
      <c r="AE47" s="16">
        <v>34647.805</v>
      </c>
      <c r="AF47" s="16">
        <v>35072.928</v>
      </c>
      <c r="AG47" s="16">
        <v>33398.660000000003</v>
      </c>
      <c r="AM47" s="16">
        <v>29641.588</v>
      </c>
    </row>
    <row r="48" spans="1:39" s="8" customFormat="1" ht="15">
      <c r="A48" s="19" t="s">
        <v>33</v>
      </c>
      <c r="B48" s="16">
        <v>216832.53763417</v>
      </c>
      <c r="C48" s="16">
        <v>217699.29258517001</v>
      </c>
      <c r="D48" s="16">
        <v>228591.07675517001</v>
      </c>
      <c r="E48" s="16">
        <v>229531.84903917002</v>
      </c>
      <c r="F48" s="16">
        <v>232355.39472517002</v>
      </c>
      <c r="G48" s="16">
        <v>235212.97949100001</v>
      </c>
      <c r="H48" s="16">
        <v>236480.32300800001</v>
      </c>
      <c r="I48" s="16">
        <v>237309.43389499999</v>
      </c>
      <c r="J48" s="16">
        <v>29460.312716</v>
      </c>
      <c r="K48" s="16">
        <v>29570.312716</v>
      </c>
      <c r="L48" s="16">
        <v>29725.312716</v>
      </c>
      <c r="M48" s="16">
        <v>30396.497487000001</v>
      </c>
      <c r="O48" s="105">
        <v>30396.497487000001</v>
      </c>
      <c r="P48" s="105">
        <v>30331.497487000001</v>
      </c>
      <c r="Q48" s="105">
        <v>29070.314077999999</v>
      </c>
      <c r="R48" s="105">
        <v>27144.81</v>
      </c>
      <c r="S48" s="105">
        <v>27734.304</v>
      </c>
      <c r="T48" s="105">
        <v>27328.012999999999</v>
      </c>
      <c r="U48" s="105">
        <v>28046.569</v>
      </c>
      <c r="V48" s="105">
        <v>26452.394</v>
      </c>
      <c r="W48" s="105">
        <v>26907.573</v>
      </c>
      <c r="X48" s="105">
        <v>26858.13</v>
      </c>
      <c r="Y48" s="105">
        <v>26596.755000000001</v>
      </c>
      <c r="Z48" s="105">
        <v>28318.614000000001</v>
      </c>
      <c r="AB48" s="16">
        <v>28423.017</v>
      </c>
      <c r="AC48" s="16">
        <v>29881.432000000001</v>
      </c>
      <c r="AD48" s="16">
        <v>25529.530999999999</v>
      </c>
      <c r="AE48" s="16">
        <v>24570.706999999999</v>
      </c>
      <c r="AF48" s="16">
        <v>24739.109</v>
      </c>
      <c r="AG48" s="16">
        <v>25207.952000000001</v>
      </c>
      <c r="AM48" s="16">
        <v>24871.385999999999</v>
      </c>
    </row>
    <row r="49" spans="1:39" s="8" customFormat="1" ht="15">
      <c r="A49" s="19" t="s">
        <v>34</v>
      </c>
      <c r="B49" s="20">
        <f>49240.403-B47</f>
        <v>2243.9555594299964</v>
      </c>
      <c r="C49" s="20">
        <f>49337.387-C47</f>
        <v>2243.6587600000057</v>
      </c>
      <c r="D49" s="20">
        <f>49058.899-D47</f>
        <v>2243.5760372299992</v>
      </c>
      <c r="E49" s="20">
        <f>50630.354-E47</f>
        <v>2243.5761896200056</v>
      </c>
      <c r="F49" s="20">
        <f>50577.297-F47</f>
        <v>2204.3892238900007</v>
      </c>
      <c r="G49" s="20">
        <f>45606.55-G47</f>
        <v>2202.3980675400016</v>
      </c>
      <c r="H49" s="20">
        <f>45168.568-H47</f>
        <v>2201.6483657900026</v>
      </c>
      <c r="I49" s="20">
        <f>45510.7-I47</f>
        <v>2201.4760662999979</v>
      </c>
      <c r="J49" s="20">
        <f>45432.145-J47</f>
        <v>2203.0686409199916</v>
      </c>
      <c r="K49" s="20">
        <f>45704.536-K47</f>
        <v>2203.0679449300005</v>
      </c>
      <c r="L49" s="20">
        <f>45716.008-L47</f>
        <v>2202.7639358099987</v>
      </c>
      <c r="M49" s="20">
        <f>40721.0979999999-M47</f>
        <v>2176.4403226399008</v>
      </c>
      <c r="O49" s="105">
        <v>2176.4408773800023</v>
      </c>
      <c r="P49" s="105">
        <v>2176.4406404100009</v>
      </c>
      <c r="Q49" s="105">
        <v>4055.2200076700028</v>
      </c>
      <c r="R49" s="105">
        <v>2163.915</v>
      </c>
      <c r="S49" s="105">
        <v>1263.682</v>
      </c>
      <c r="T49" s="105">
        <v>1264.1120000000001</v>
      </c>
      <c r="U49" s="105">
        <v>1264.1120000000001</v>
      </c>
      <c r="V49" s="105">
        <v>1220.5309999999999</v>
      </c>
      <c r="W49" s="105">
        <v>1219.059</v>
      </c>
      <c r="X49" s="105">
        <v>1219.058</v>
      </c>
      <c r="Y49" s="105">
        <v>1218.0409999999999</v>
      </c>
      <c r="Z49" s="105">
        <v>1218.9259999999999</v>
      </c>
      <c r="AB49" s="20">
        <v>1438.7940000000001</v>
      </c>
      <c r="AC49" s="20">
        <v>1438.7929999999999</v>
      </c>
      <c r="AD49" s="20">
        <v>1438.7940000000001</v>
      </c>
      <c r="AE49" s="20">
        <v>1438.7940000000001</v>
      </c>
      <c r="AF49" s="20">
        <v>1425.8520000000001</v>
      </c>
      <c r="AG49" s="20">
        <v>1423.91</v>
      </c>
      <c r="AM49" s="20">
        <v>94941.448999999993</v>
      </c>
    </row>
    <row r="50" spans="1:39" s="8" customFormat="1" ht="15">
      <c r="A50" s="18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</row>
    <row r="51" spans="1:39" s="8" customFormat="1" ht="15.75">
      <c r="A51" s="9" t="s">
        <v>37</v>
      </c>
      <c r="B51" s="10">
        <f>SUM(B52:B58)</f>
        <v>1988337.811</v>
      </c>
      <c r="C51" s="10">
        <f t="shared" ref="C51:AM51" si="24">SUM(C52:C58)</f>
        <v>1986909.8579999998</v>
      </c>
      <c r="D51" s="10">
        <f t="shared" si="24"/>
        <v>1995584.7749999999</v>
      </c>
      <c r="E51" s="10">
        <f t="shared" si="24"/>
        <v>1995912.0769999998</v>
      </c>
      <c r="F51" s="10">
        <f t="shared" si="24"/>
        <v>1989377.0559999999</v>
      </c>
      <c r="G51" s="10">
        <f t="shared" si="24"/>
        <v>1983617.8609999998</v>
      </c>
      <c r="H51" s="10">
        <f t="shared" si="24"/>
        <v>1984711</v>
      </c>
      <c r="I51" s="10">
        <f t="shared" si="24"/>
        <v>1990770.7529999998</v>
      </c>
      <c r="J51" s="10">
        <f t="shared" si="24"/>
        <v>2088635.3569999998</v>
      </c>
      <c r="K51" s="10">
        <f t="shared" si="24"/>
        <v>2089768.3399999999</v>
      </c>
      <c r="L51" s="10">
        <f t="shared" si="24"/>
        <v>2089857.4079999998</v>
      </c>
      <c r="M51" s="10">
        <f t="shared" si="24"/>
        <v>2150198.023</v>
      </c>
      <c r="O51" s="10">
        <f t="shared" si="24"/>
        <v>2153424.182</v>
      </c>
      <c r="P51" s="10">
        <f t="shared" si="24"/>
        <v>2167389.4019999998</v>
      </c>
      <c r="Q51" s="10">
        <f t="shared" si="24"/>
        <v>2163346.6230000001</v>
      </c>
      <c r="R51" s="10">
        <f t="shared" si="24"/>
        <v>2166536.2519999999</v>
      </c>
      <c r="S51" s="10">
        <f t="shared" si="24"/>
        <v>2171834.8249999997</v>
      </c>
      <c r="T51" s="10">
        <f t="shared" si="24"/>
        <v>2169329.0009999997</v>
      </c>
      <c r="U51" s="10">
        <f t="shared" si="24"/>
        <v>2178013.2059999998</v>
      </c>
      <c r="V51" s="10">
        <f t="shared" si="24"/>
        <v>2183734.2029999997</v>
      </c>
      <c r="W51" s="10">
        <f t="shared" si="24"/>
        <v>2171913.6370000001</v>
      </c>
      <c r="X51" s="10">
        <f t="shared" si="24"/>
        <v>2232984.767</v>
      </c>
      <c r="Y51" s="10">
        <f t="shared" si="24"/>
        <v>2222026.6910000001</v>
      </c>
      <c r="Z51" s="10">
        <f t="shared" si="24"/>
        <v>2204830.7519999999</v>
      </c>
      <c r="AB51" s="10">
        <f t="shared" si="24"/>
        <v>2206703.5279999999</v>
      </c>
      <c r="AC51" s="10">
        <f t="shared" si="24"/>
        <v>2195826.6220000004</v>
      </c>
      <c r="AD51" s="10">
        <f t="shared" si="24"/>
        <v>2180187.577</v>
      </c>
      <c r="AE51" s="10">
        <f t="shared" si="24"/>
        <v>2172180.1890000002</v>
      </c>
      <c r="AF51" s="10">
        <f t="shared" si="24"/>
        <v>2170909.2170000002</v>
      </c>
      <c r="AG51" s="10">
        <f t="shared" si="24"/>
        <v>2144536.983</v>
      </c>
      <c r="AH51" s="10">
        <f t="shared" si="24"/>
        <v>0</v>
      </c>
      <c r="AI51" s="10">
        <f t="shared" si="24"/>
        <v>0</v>
      </c>
      <c r="AJ51" s="10">
        <f t="shared" si="24"/>
        <v>0</v>
      </c>
      <c r="AK51" s="10">
        <f t="shared" si="24"/>
        <v>0</v>
      </c>
      <c r="AL51" s="10">
        <f t="shared" si="24"/>
        <v>0</v>
      </c>
      <c r="AM51" s="10">
        <f t="shared" si="24"/>
        <v>2159554.2690000003</v>
      </c>
    </row>
    <row r="52" spans="1:39" s="8" customFormat="1" ht="15">
      <c r="A52" s="21" t="s">
        <v>38</v>
      </c>
      <c r="B52" s="20">
        <v>1924.4190000000001</v>
      </c>
      <c r="C52" s="20">
        <v>1924.4190000000001</v>
      </c>
      <c r="D52" s="20">
        <v>1924.4190000000001</v>
      </c>
      <c r="E52" s="20">
        <v>1924.4190000000001</v>
      </c>
      <c r="F52" s="20">
        <v>1924.4190000000001</v>
      </c>
      <c r="G52" s="20">
        <v>1924.4190000000001</v>
      </c>
      <c r="H52" s="20">
        <v>1924.4190000000001</v>
      </c>
      <c r="I52" s="20">
        <v>1924.4190000000001</v>
      </c>
      <c r="J52" s="20">
        <v>1924.4190000000001</v>
      </c>
      <c r="K52" s="20">
        <v>1924.4190000000001</v>
      </c>
      <c r="L52" s="20">
        <v>1924.4190000000001</v>
      </c>
      <c r="M52" s="20">
        <v>1924.4190000000001</v>
      </c>
      <c r="O52" s="20">
        <v>1924.4190000000001</v>
      </c>
      <c r="P52" s="20">
        <v>1924.4190000000001</v>
      </c>
      <c r="Q52" s="20">
        <v>1924.4190000000001</v>
      </c>
      <c r="R52" s="20">
        <v>1924.4190000000001</v>
      </c>
      <c r="S52" s="20">
        <v>1924.4190000000001</v>
      </c>
      <c r="T52" s="20">
        <v>1924.4190000000001</v>
      </c>
      <c r="U52" s="20">
        <v>1924.4190000000001</v>
      </c>
      <c r="V52" s="20">
        <v>1924.4190000000001</v>
      </c>
      <c r="W52" s="20">
        <v>1924.4190000000001</v>
      </c>
      <c r="X52" s="20">
        <v>1924.4190000000001</v>
      </c>
      <c r="Y52" s="20">
        <v>1924.4190000000001</v>
      </c>
      <c r="Z52" s="20">
        <v>1924.4190000000001</v>
      </c>
      <c r="AB52" s="20">
        <v>1924.4190000000001</v>
      </c>
      <c r="AC52" s="20">
        <v>1924.4190000000001</v>
      </c>
      <c r="AD52" s="20">
        <v>1924.4190000000001</v>
      </c>
      <c r="AE52" s="20">
        <v>1924.4190000000001</v>
      </c>
      <c r="AF52" s="20">
        <v>1924.4190000000001</v>
      </c>
      <c r="AG52" s="20">
        <v>1924.4190000000001</v>
      </c>
      <c r="AM52" s="20">
        <v>1924.4190000000001</v>
      </c>
    </row>
    <row r="53" spans="1:39" s="8" customFormat="1" ht="15">
      <c r="A53" s="21" t="s">
        <v>39</v>
      </c>
      <c r="B53" s="20">
        <v>262471.46600000001</v>
      </c>
      <c r="C53" s="20">
        <v>262471.46600000001</v>
      </c>
      <c r="D53" s="20">
        <v>262471.46600000001</v>
      </c>
      <c r="E53" s="20">
        <v>262471.46600000001</v>
      </c>
      <c r="F53" s="20">
        <v>262471.46600000001</v>
      </c>
      <c r="G53" s="20">
        <v>262471.46600000001</v>
      </c>
      <c r="H53" s="20">
        <v>262471.46600000001</v>
      </c>
      <c r="I53" s="20">
        <v>262471.46600000001</v>
      </c>
      <c r="J53" s="20">
        <v>262471.46600000001</v>
      </c>
      <c r="K53" s="20">
        <v>262471.46600000001</v>
      </c>
      <c r="L53" s="20">
        <v>262471.46600000001</v>
      </c>
      <c r="M53" s="20">
        <v>262471.46600000001</v>
      </c>
      <c r="O53" s="20">
        <v>262471.46600000001</v>
      </c>
      <c r="P53" s="20">
        <v>262471.46600000001</v>
      </c>
      <c r="Q53" s="20">
        <v>262471.46600000001</v>
      </c>
      <c r="R53" s="20">
        <v>262471.46600000001</v>
      </c>
      <c r="S53" s="20">
        <v>262471.46600000001</v>
      </c>
      <c r="T53" s="20">
        <v>262471.46600000001</v>
      </c>
      <c r="U53" s="20">
        <v>262471.46600000001</v>
      </c>
      <c r="V53" s="20">
        <v>262471.46600000001</v>
      </c>
      <c r="W53" s="20">
        <v>262471.46600000001</v>
      </c>
      <c r="X53" s="20">
        <v>262471.46600000001</v>
      </c>
      <c r="Y53" s="20">
        <v>262471.46600000001</v>
      </c>
      <c r="Z53" s="20">
        <v>262471.46600000001</v>
      </c>
      <c r="AB53" s="20">
        <v>262471.46600000001</v>
      </c>
      <c r="AC53" s="20">
        <v>262471.46600000001</v>
      </c>
      <c r="AD53" s="20">
        <v>262471.46600000001</v>
      </c>
      <c r="AE53" s="20">
        <v>262471.46600000001</v>
      </c>
      <c r="AF53" s="20">
        <v>262471.46600000001</v>
      </c>
      <c r="AG53" s="20">
        <v>262471.46600000001</v>
      </c>
      <c r="AM53" s="20">
        <v>262471.46600000001</v>
      </c>
    </row>
    <row r="54" spans="1:39" s="8" customFormat="1" ht="15">
      <c r="A54" s="21" t="s">
        <v>40</v>
      </c>
      <c r="B54" s="20">
        <v>1570451.023</v>
      </c>
      <c r="C54" s="20">
        <v>1570451.023</v>
      </c>
      <c r="D54" s="20">
        <v>1570451.023</v>
      </c>
      <c r="E54" s="20">
        <v>1570451.023</v>
      </c>
      <c r="F54" s="20">
        <v>1570451.023</v>
      </c>
      <c r="G54" s="20">
        <v>1570451.023</v>
      </c>
      <c r="H54" s="20">
        <v>1570451.023</v>
      </c>
      <c r="I54" s="20">
        <v>1570451.023</v>
      </c>
      <c r="J54" s="20">
        <v>1570451.023</v>
      </c>
      <c r="K54" s="20">
        <v>1570451.023</v>
      </c>
      <c r="L54" s="20">
        <v>1570451.023</v>
      </c>
      <c r="M54" s="20">
        <v>1570451.023</v>
      </c>
      <c r="O54" s="20">
        <f>+[15]Presentación_baldiscok!$BL$50</f>
        <v>1570451.023</v>
      </c>
      <c r="P54" s="20">
        <v>1570451.023</v>
      </c>
      <c r="Q54" s="20">
        <v>1326453.4639999999</v>
      </c>
      <c r="R54" s="20">
        <v>1326453.4639999999</v>
      </c>
      <c r="S54" s="20">
        <v>1326453.4639999999</v>
      </c>
      <c r="T54" s="20">
        <v>1326453.4639999999</v>
      </c>
      <c r="U54" s="20">
        <v>1326453.4639999999</v>
      </c>
      <c r="V54" s="20">
        <v>1326453.4639999999</v>
      </c>
      <c r="W54" s="20">
        <v>1326453.4639999999</v>
      </c>
      <c r="X54" s="20">
        <v>1326453.4639999999</v>
      </c>
      <c r="Y54" s="20">
        <v>1326453.4639999999</v>
      </c>
      <c r="Z54" s="20">
        <v>1326453.4639999999</v>
      </c>
      <c r="AB54" s="20">
        <v>1326453.4639999999</v>
      </c>
      <c r="AC54" s="20">
        <v>1326453.4639999999</v>
      </c>
      <c r="AD54" s="20">
        <v>1326453.4639999999</v>
      </c>
      <c r="AE54" s="20">
        <v>1326453.4639999999</v>
      </c>
      <c r="AF54" s="20">
        <v>1326453.4639999999</v>
      </c>
      <c r="AG54" s="20">
        <v>1326453.4639999999</v>
      </c>
      <c r="AM54" s="20">
        <v>1326453.4639999999</v>
      </c>
    </row>
    <row r="55" spans="1:39" s="8" customFormat="1" ht="15">
      <c r="A55" s="21" t="s">
        <v>41</v>
      </c>
      <c r="B55" s="20">
        <v>851454.85</v>
      </c>
      <c r="C55" s="20">
        <v>851454.85</v>
      </c>
      <c r="D55" s="20">
        <v>851454.85</v>
      </c>
      <c r="E55" s="20">
        <v>851454.85</v>
      </c>
      <c r="F55" s="20">
        <v>851454.85</v>
      </c>
      <c r="G55" s="20">
        <v>851454.85</v>
      </c>
      <c r="H55" s="20">
        <v>851454.85</v>
      </c>
      <c r="I55" s="20">
        <v>851454.85</v>
      </c>
      <c r="J55" s="20">
        <v>851454.85</v>
      </c>
      <c r="K55" s="20">
        <v>851454.85</v>
      </c>
      <c r="L55" s="20">
        <v>851454.85</v>
      </c>
      <c r="M55" s="20">
        <v>851454.85</v>
      </c>
      <c r="O55" s="20">
        <v>851454.85</v>
      </c>
      <c r="P55" s="20">
        <v>851454.85</v>
      </c>
      <c r="Q55" s="20">
        <v>851454.85</v>
      </c>
      <c r="R55" s="20">
        <v>851454.85</v>
      </c>
      <c r="S55" s="20">
        <v>851454.85</v>
      </c>
      <c r="T55" s="20">
        <v>851454.85</v>
      </c>
      <c r="U55" s="20">
        <v>851454.85</v>
      </c>
      <c r="V55" s="20">
        <v>851454.85</v>
      </c>
      <c r="W55" s="20">
        <v>851454.85</v>
      </c>
      <c r="X55" s="20">
        <v>851454.85</v>
      </c>
      <c r="Y55" s="20">
        <v>851454.85</v>
      </c>
      <c r="Z55" s="20">
        <v>851454.85</v>
      </c>
      <c r="AB55" s="20">
        <v>851454.85</v>
      </c>
      <c r="AC55" s="20">
        <v>851454.85</v>
      </c>
      <c r="AD55" s="20">
        <v>851454.85</v>
      </c>
      <c r="AE55" s="20">
        <v>851454.85</v>
      </c>
      <c r="AF55" s="20">
        <v>851454.85</v>
      </c>
      <c r="AG55" s="20">
        <v>851454.85</v>
      </c>
      <c r="AM55" s="20">
        <v>851454.85</v>
      </c>
    </row>
    <row r="56" spans="1:39" s="8" customFormat="1" ht="15">
      <c r="A56" s="21" t="s">
        <v>42</v>
      </c>
      <c r="B56" s="20">
        <v>-810539.72699999996</v>
      </c>
      <c r="C56" s="20">
        <v>-810539.72699999996</v>
      </c>
      <c r="D56" s="20">
        <v>-810539.72699999996</v>
      </c>
      <c r="E56" s="20">
        <v>-810539.72699999996</v>
      </c>
      <c r="F56" s="20">
        <v>-810539.72699999996</v>
      </c>
      <c r="G56" s="20">
        <v>-810539.72699999996</v>
      </c>
      <c r="H56" s="20">
        <v>-810539.72699999996</v>
      </c>
      <c r="I56" s="20">
        <v>-790875.31</v>
      </c>
      <c r="J56" s="20">
        <v>-790875.31</v>
      </c>
      <c r="K56" s="20">
        <v>-790875.31</v>
      </c>
      <c r="L56" s="20">
        <v>-790875.31</v>
      </c>
      <c r="M56" s="20">
        <v>-790875.31</v>
      </c>
      <c r="O56" s="20">
        <f>+[15]Presentación_baldiscok!$BL$51</f>
        <v>-652170.86</v>
      </c>
      <c r="P56" s="20">
        <v>-652170.86</v>
      </c>
      <c r="Q56" s="20">
        <v>-408173.30200000003</v>
      </c>
      <c r="R56" s="20">
        <v>-408173.30200000003</v>
      </c>
      <c r="S56" s="20">
        <v>-408173.30200000003</v>
      </c>
      <c r="T56" s="20">
        <v>-408173.30200000003</v>
      </c>
      <c r="U56" s="20">
        <v>-408173.30200000003</v>
      </c>
      <c r="V56" s="20">
        <v>-408173.30200000003</v>
      </c>
      <c r="W56" s="20">
        <v>-408173.30200000003</v>
      </c>
      <c r="X56" s="20">
        <v>-408173.30200000003</v>
      </c>
      <c r="Y56" s="20">
        <v>-408173.30200000003</v>
      </c>
      <c r="Z56" s="20">
        <v>-408173.30200000003</v>
      </c>
      <c r="AB56" s="20">
        <v>-359079.94699999999</v>
      </c>
      <c r="AC56" s="20">
        <v>-359079.94699999999</v>
      </c>
      <c r="AD56" s="20">
        <v>-359079.94799999997</v>
      </c>
      <c r="AE56" s="20">
        <v>-359079.94799999997</v>
      </c>
      <c r="AF56" s="20">
        <v>-359079.94799999997</v>
      </c>
      <c r="AG56" s="20">
        <v>-359079.94799999997</v>
      </c>
      <c r="AM56" s="20">
        <v>-359079.94799999997</v>
      </c>
    </row>
    <row r="57" spans="1:39" s="8" customFormat="1" ht="15">
      <c r="A57" s="21" t="s">
        <v>43</v>
      </c>
      <c r="B57" s="20">
        <v>7329.11</v>
      </c>
      <c r="C57" s="20">
        <v>5901.1570000000002</v>
      </c>
      <c r="D57" s="20">
        <v>14576.074000000001</v>
      </c>
      <c r="E57" s="20">
        <v>14903.376</v>
      </c>
      <c r="F57" s="20">
        <v>8368.3549999999996</v>
      </c>
      <c r="G57" s="20">
        <v>2609.16</v>
      </c>
      <c r="H57" s="20">
        <v>3702.299</v>
      </c>
      <c r="I57" s="20">
        <v>9762.0509999999995</v>
      </c>
      <c r="J57" s="20">
        <v>107626.655</v>
      </c>
      <c r="K57" s="20">
        <v>108759.63800000001</v>
      </c>
      <c r="L57" s="20">
        <v>108848.70600000001</v>
      </c>
      <c r="M57" s="20">
        <v>169189.321</v>
      </c>
      <c r="O57" s="20">
        <f>+[15]Presentación_baldiscok!$BL$54</f>
        <v>3226.1590000000001</v>
      </c>
      <c r="P57" s="20">
        <f>+[15]Presentación_baldiscok!$BM$54</f>
        <v>17191.379000000001</v>
      </c>
      <c r="Q57" s="20">
        <v>15484.370999999999</v>
      </c>
      <c r="R57" s="20">
        <v>18440.422999999999</v>
      </c>
      <c r="S57" s="20">
        <v>23738.995999999999</v>
      </c>
      <c r="T57" s="20">
        <v>23042.054</v>
      </c>
      <c r="U57" s="20">
        <v>31726.258999999998</v>
      </c>
      <c r="V57" s="20">
        <v>37447.256000000001</v>
      </c>
      <c r="W57" s="20">
        <v>26113.401999999998</v>
      </c>
      <c r="X57" s="20">
        <v>87184.532000000007</v>
      </c>
      <c r="Y57" s="20">
        <v>76226.456000000006</v>
      </c>
      <c r="Z57" s="20">
        <v>49093.355000000003</v>
      </c>
      <c r="AB57" s="20">
        <v>1872.7760000000001</v>
      </c>
      <c r="AC57" s="20">
        <v>-9004.1299999999992</v>
      </c>
      <c r="AD57" s="20">
        <v>-24075.984</v>
      </c>
      <c r="AE57" s="20">
        <v>-32083.371999999999</v>
      </c>
      <c r="AF57" s="20">
        <v>-33291.322999999997</v>
      </c>
      <c r="AG57" s="20">
        <v>-60898.43</v>
      </c>
      <c r="AM57" s="20">
        <v>-37205.665000000001</v>
      </c>
    </row>
    <row r="58" spans="1:39" s="8" customFormat="1" ht="15">
      <c r="A58" s="21" t="s">
        <v>44</v>
      </c>
      <c r="B58" s="20">
        <v>105246.67</v>
      </c>
      <c r="C58" s="20">
        <v>105246.67</v>
      </c>
      <c r="D58" s="20">
        <v>105246.67</v>
      </c>
      <c r="E58" s="20">
        <v>105246.67</v>
      </c>
      <c r="F58" s="20">
        <v>105246.67</v>
      </c>
      <c r="G58" s="20">
        <v>105246.67</v>
      </c>
      <c r="H58" s="20">
        <v>105246.67</v>
      </c>
      <c r="I58" s="20">
        <v>85582.254000000001</v>
      </c>
      <c r="J58" s="20">
        <v>85582.254000000001</v>
      </c>
      <c r="K58" s="20">
        <v>85582.254000000001</v>
      </c>
      <c r="L58" s="20">
        <v>85582.254000000001</v>
      </c>
      <c r="M58" s="20">
        <v>85582.254000000001</v>
      </c>
      <c r="O58" s="20">
        <f>+[15]Presentación_baldiscok!$BL$52</f>
        <v>116067.125</v>
      </c>
      <c r="P58" s="20">
        <f>+O58</f>
        <v>116067.125</v>
      </c>
      <c r="Q58" s="20">
        <v>113731.355</v>
      </c>
      <c r="R58" s="20">
        <v>113964.932</v>
      </c>
      <c r="S58" s="20">
        <v>113964.932</v>
      </c>
      <c r="T58" s="20">
        <v>112156.05</v>
      </c>
      <c r="U58" s="20">
        <v>112156.05</v>
      </c>
      <c r="V58" s="20">
        <v>112156.05</v>
      </c>
      <c r="W58" s="20">
        <v>111669.338</v>
      </c>
      <c r="X58" s="20">
        <v>111669.338</v>
      </c>
      <c r="Y58" s="20">
        <v>111669.338</v>
      </c>
      <c r="Z58" s="20">
        <v>121606.5</v>
      </c>
      <c r="AB58" s="20">
        <v>121606.5</v>
      </c>
      <c r="AC58" s="20">
        <v>121606.5</v>
      </c>
      <c r="AD58" s="20">
        <v>121039.31</v>
      </c>
      <c r="AE58" s="20">
        <v>121039.31</v>
      </c>
      <c r="AF58" s="20">
        <v>120976.289</v>
      </c>
      <c r="AG58" s="20">
        <v>122211.162</v>
      </c>
      <c r="AM58" s="20">
        <v>113535.683</v>
      </c>
    </row>
    <row r="59" spans="1:39" s="8" customFormat="1" ht="15">
      <c r="A59" s="21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</row>
    <row r="60" spans="1:39" s="8" customFormat="1" ht="15.75">
      <c r="A60" s="9" t="s">
        <v>45</v>
      </c>
      <c r="B60" s="10">
        <f>+B28+B51</f>
        <v>3641861.5619999999</v>
      </c>
      <c r="C60" s="10">
        <f t="shared" ref="C60:L60" si="25">+C28+C51</f>
        <v>3650467.307</v>
      </c>
      <c r="D60" s="10">
        <f t="shared" si="25"/>
        <v>3679090.2409999999</v>
      </c>
      <c r="E60" s="10">
        <f t="shared" si="25"/>
        <v>3677078.9380000001</v>
      </c>
      <c r="F60" s="10">
        <f t="shared" si="25"/>
        <v>3675263.9299999997</v>
      </c>
      <c r="G60" s="10">
        <f t="shared" si="25"/>
        <v>3704028.95</v>
      </c>
      <c r="H60" s="10">
        <f t="shared" si="25"/>
        <v>3707294.8640000001</v>
      </c>
      <c r="I60" s="10">
        <f t="shared" si="25"/>
        <v>3665945.5369999995</v>
      </c>
      <c r="J60" s="10">
        <f t="shared" si="25"/>
        <v>3594238.55</v>
      </c>
      <c r="K60" s="10">
        <f t="shared" si="25"/>
        <v>3480803.3619999997</v>
      </c>
      <c r="L60" s="10">
        <f t="shared" si="25"/>
        <v>3487826.7589999996</v>
      </c>
      <c r="M60" s="10">
        <f>+M28+M51</f>
        <v>3843995.55</v>
      </c>
      <c r="O60" s="10">
        <f t="shared" ref="O60:Z60" si="26">+O28+O51</f>
        <v>3781709.3835180602</v>
      </c>
      <c r="P60" s="10">
        <f t="shared" si="26"/>
        <v>3765647.7285890598</v>
      </c>
      <c r="Q60" s="10">
        <f t="shared" si="26"/>
        <v>3720905.4712960599</v>
      </c>
      <c r="R60" s="10">
        <f t="shared" si="26"/>
        <v>3713686.6739999996</v>
      </c>
      <c r="S60" s="10">
        <f t="shared" si="26"/>
        <v>3721142.4369999999</v>
      </c>
      <c r="T60" s="10">
        <f t="shared" si="26"/>
        <v>3749898.21</v>
      </c>
      <c r="U60" s="10">
        <f t="shared" si="26"/>
        <v>3770466.7569999998</v>
      </c>
      <c r="V60" s="10">
        <f t="shared" si="26"/>
        <v>3812865.7379999999</v>
      </c>
      <c r="W60" s="10">
        <f t="shared" si="26"/>
        <v>3715382.2</v>
      </c>
      <c r="X60" s="10">
        <f t="shared" si="26"/>
        <v>3795425.4270000001</v>
      </c>
      <c r="Y60" s="10">
        <f t="shared" si="26"/>
        <v>4140193.017</v>
      </c>
      <c r="Z60" s="10">
        <f t="shared" si="26"/>
        <v>4218365.6969999997</v>
      </c>
      <c r="AB60" s="10">
        <f t="shared" ref="AB60:AM60" si="27">+AB28+AB51</f>
        <v>3885010.61</v>
      </c>
      <c r="AC60" s="10">
        <f t="shared" si="27"/>
        <v>3817065.6040000007</v>
      </c>
      <c r="AD60" s="10">
        <f t="shared" si="27"/>
        <v>3847687.969</v>
      </c>
      <c r="AE60" s="10">
        <f t="shared" si="27"/>
        <v>3859208.7190000005</v>
      </c>
      <c r="AF60" s="10">
        <f t="shared" si="27"/>
        <v>3914326.7520000003</v>
      </c>
      <c r="AG60" s="10">
        <f t="shared" si="27"/>
        <v>3901879.392</v>
      </c>
      <c r="AH60" s="10">
        <f t="shared" si="27"/>
        <v>0</v>
      </c>
      <c r="AI60" s="10">
        <f t="shared" si="27"/>
        <v>0</v>
      </c>
      <c r="AJ60" s="10">
        <f t="shared" si="27"/>
        <v>0</v>
      </c>
      <c r="AK60" s="10">
        <f t="shared" si="27"/>
        <v>0</v>
      </c>
      <c r="AL60" s="10">
        <f t="shared" si="27"/>
        <v>0</v>
      </c>
      <c r="AM60" s="10">
        <f t="shared" si="27"/>
        <v>4075757.7780000004</v>
      </c>
    </row>
    <row r="61" spans="1:39" s="8" customFormat="1" ht="15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</row>
    <row r="62" spans="1:39" s="8" customFormat="1" ht="15">
      <c r="A62" s="22"/>
      <c r="B62" s="23">
        <f t="shared" ref="B62:Z62" si="28">+B6-B60</f>
        <v>4.9597024917602539E-4</v>
      </c>
      <c r="C62" s="23">
        <f t="shared" si="28"/>
        <v>2.4668872356414795E-5</v>
      </c>
      <c r="D62" s="23">
        <f t="shared" si="28"/>
        <v>2.842792309820652E-4</v>
      </c>
      <c r="E62" s="23">
        <f t="shared" si="28"/>
        <v>2.8427969664335251E-4</v>
      </c>
      <c r="F62" s="23">
        <f t="shared" si="28"/>
        <v>0.2082842793315649</v>
      </c>
      <c r="G62" s="23">
        <f t="shared" si="28"/>
        <v>1.3319961726665497E-4</v>
      </c>
      <c r="H62" s="23">
        <f t="shared" si="28"/>
        <v>1.3319961726665497E-4</v>
      </c>
      <c r="I62" s="23">
        <f t="shared" si="28"/>
        <v>1.3319961726665497E-4</v>
      </c>
      <c r="J62" s="23">
        <f t="shared" si="28"/>
        <v>3.1412020325660706E-4</v>
      </c>
      <c r="K62" s="23">
        <f t="shared" si="28"/>
        <v>0</v>
      </c>
      <c r="L62" s="23">
        <f t="shared" si="28"/>
        <v>0</v>
      </c>
      <c r="M62" s="23">
        <f t="shared" si="28"/>
        <v>-1.0000001639127731E-3</v>
      </c>
      <c r="N62" s="23">
        <f t="shared" si="28"/>
        <v>0</v>
      </c>
      <c r="O62" s="23">
        <f t="shared" si="28"/>
        <v>8.5626030340790749E-4</v>
      </c>
      <c r="P62" s="23">
        <f t="shared" si="28"/>
        <v>4.1093956679105759E-4</v>
      </c>
      <c r="Q62" s="23">
        <f t="shared" si="28"/>
        <v>7.0394016802310944E-4</v>
      </c>
      <c r="R62" s="23">
        <f t="shared" si="28"/>
        <v>-0.12099999981001019</v>
      </c>
      <c r="S62" s="23">
        <f t="shared" si="28"/>
        <v>-0.21999999973922968</v>
      </c>
      <c r="T62" s="23">
        <f t="shared" si="28"/>
        <v>-0.26999999908730388</v>
      </c>
      <c r="U62" s="23">
        <f t="shared" si="28"/>
        <v>0.2220000009983778</v>
      </c>
      <c r="V62" s="23">
        <f t="shared" si="28"/>
        <v>0</v>
      </c>
      <c r="W62" s="23">
        <f t="shared" si="28"/>
        <v>0</v>
      </c>
      <c r="X62" s="23">
        <f t="shared" si="28"/>
        <v>0</v>
      </c>
      <c r="Y62" s="23">
        <f t="shared" si="28"/>
        <v>0</v>
      </c>
      <c r="Z62" s="23">
        <f t="shared" si="28"/>
        <v>-1.0000001639127731E-3</v>
      </c>
      <c r="AB62" s="23">
        <f t="shared" ref="AB62:AM62" si="29">+AB6-AB60</f>
        <v>0</v>
      </c>
      <c r="AC62" s="23">
        <f t="shared" si="29"/>
        <v>0</v>
      </c>
      <c r="AD62" s="23">
        <f t="shared" si="29"/>
        <v>0</v>
      </c>
      <c r="AE62" s="23">
        <f t="shared" si="29"/>
        <v>0</v>
      </c>
      <c r="AF62" s="23">
        <f t="shared" si="29"/>
        <v>0</v>
      </c>
      <c r="AG62" s="23">
        <f t="shared" si="29"/>
        <v>0</v>
      </c>
      <c r="AH62" s="23">
        <f t="shared" si="29"/>
        <v>0</v>
      </c>
      <c r="AI62" s="23">
        <f t="shared" si="29"/>
        <v>0</v>
      </c>
      <c r="AJ62" s="23">
        <f t="shared" si="29"/>
        <v>0</v>
      </c>
      <c r="AK62" s="23">
        <f t="shared" si="29"/>
        <v>0</v>
      </c>
      <c r="AL62" s="23">
        <f t="shared" si="29"/>
        <v>0</v>
      </c>
      <c r="AM62" s="23">
        <f t="shared" si="29"/>
        <v>0</v>
      </c>
    </row>
    <row r="63" spans="1:39" s="8" customFormat="1" ht="15">
      <c r="A63" s="18"/>
      <c r="B63" s="18"/>
    </row>
    <row r="64" spans="1:39" s="8" customFormat="1" ht="15">
      <c r="A64" s="18"/>
      <c r="B64" s="18"/>
    </row>
    <row r="65" spans="1:2" s="8" customFormat="1" ht="15">
      <c r="A65" s="18"/>
      <c r="B65" s="18"/>
    </row>
    <row r="66" spans="1:2" s="8" customFormat="1" ht="15">
      <c r="A66" s="18"/>
      <c r="B66" s="18"/>
    </row>
    <row r="67" spans="1:2" s="8" customFormat="1" ht="15">
      <c r="A67" s="18"/>
      <c r="B67" s="18"/>
    </row>
    <row r="68" spans="1:2" s="8" customFormat="1" ht="15">
      <c r="A68" s="18"/>
      <c r="B68" s="18"/>
    </row>
  </sheetData>
  <mergeCells count="1">
    <mergeCell ref="A2:B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W68"/>
  <sheetViews>
    <sheetView showGridLines="0" zoomScaleNormal="100" workbookViewId="0">
      <pane xSplit="1" ySplit="5" topLeftCell="D6" activePane="bottomRight" state="frozen"/>
      <selection pane="topRight" activeCell="B1" sqref="B1"/>
      <selection pane="bottomLeft" activeCell="A6" sqref="A6"/>
      <selection pane="bottomRight" activeCell="D11" sqref="D11"/>
    </sheetView>
  </sheetViews>
  <sheetFormatPr baseColWidth="10" defaultColWidth="11.42578125" defaultRowHeight="18"/>
  <cols>
    <col min="1" max="1" width="77.42578125" style="2" bestFit="1" customWidth="1"/>
    <col min="2" max="2" width="12.85546875" style="2" bestFit="1" customWidth="1"/>
    <col min="3" max="6" width="12" style="2" bestFit="1" customWidth="1"/>
    <col min="7" max="10" width="12" style="1" bestFit="1" customWidth="1"/>
    <col min="11" max="11" width="11.7109375" style="1" bestFit="1" customWidth="1"/>
    <col min="12" max="16384" width="11.42578125" style="1"/>
  </cols>
  <sheetData>
    <row r="1" spans="1:23" ht="20.25">
      <c r="A1" s="25" t="s">
        <v>0</v>
      </c>
      <c r="B1" s="25"/>
      <c r="C1" s="25"/>
      <c r="D1" s="25"/>
      <c r="E1" s="26"/>
      <c r="F1" s="27"/>
      <c r="G1" s="28"/>
      <c r="H1" s="29"/>
    </row>
    <row r="2" spans="1:23" ht="20.25">
      <c r="A2" s="168" t="s">
        <v>46</v>
      </c>
      <c r="B2" s="168"/>
      <c r="C2" s="168"/>
      <c r="D2" s="168"/>
      <c r="E2" s="168"/>
      <c r="F2" s="168"/>
      <c r="G2" s="168"/>
      <c r="H2" s="168"/>
    </row>
    <row r="3" spans="1:23" ht="15">
      <c r="A3" s="3" t="s">
        <v>2</v>
      </c>
      <c r="B3" s="3"/>
      <c r="C3" s="3"/>
      <c r="D3" s="3"/>
      <c r="E3" s="3"/>
      <c r="F3" s="3"/>
      <c r="G3" s="3"/>
      <c r="H3" s="3"/>
    </row>
    <row r="4" spans="1:23" ht="15">
      <c r="A4" s="3"/>
      <c r="B4" s="3"/>
      <c r="C4" s="3"/>
      <c r="D4" s="3"/>
      <c r="E4" s="3"/>
      <c r="F4" s="3"/>
      <c r="G4" s="3"/>
      <c r="H4" s="3"/>
    </row>
    <row r="5" spans="1:23" s="8" customFormat="1" ht="15.75">
      <c r="A5" s="7" t="s">
        <v>3</v>
      </c>
      <c r="B5" s="7" t="s">
        <v>47</v>
      </c>
      <c r="C5" s="7">
        <v>2023</v>
      </c>
      <c r="D5" s="7">
        <v>2022</v>
      </c>
      <c r="E5" s="7">
        <v>2021</v>
      </c>
      <c r="F5" s="7">
        <v>2020</v>
      </c>
      <c r="G5" s="7">
        <v>2019</v>
      </c>
      <c r="H5" s="7">
        <v>2018</v>
      </c>
      <c r="I5" s="7">
        <v>2017</v>
      </c>
      <c r="J5" s="7">
        <v>2016</v>
      </c>
      <c r="K5" s="7">
        <v>2015</v>
      </c>
      <c r="L5" s="7">
        <v>2014</v>
      </c>
      <c r="M5" s="7">
        <v>2013</v>
      </c>
      <c r="N5" s="7">
        <v>2012</v>
      </c>
      <c r="O5" s="7">
        <v>2011</v>
      </c>
      <c r="P5" s="7">
        <v>2010</v>
      </c>
      <c r="Q5" s="7">
        <v>2009</v>
      </c>
      <c r="R5" s="7">
        <v>2008</v>
      </c>
      <c r="S5" s="7">
        <v>2007</v>
      </c>
      <c r="T5" s="7">
        <v>2006</v>
      </c>
      <c r="U5" s="7">
        <v>2005</v>
      </c>
      <c r="V5" s="7">
        <v>2004</v>
      </c>
      <c r="W5" s="7">
        <v>2003</v>
      </c>
    </row>
    <row r="6" spans="1:23" s="8" customFormat="1" ht="15.75">
      <c r="A6" s="9" t="s">
        <v>4</v>
      </c>
      <c r="B6" s="10">
        <f t="shared" ref="B6" si="0">+B8+B17</f>
        <v>3990085.9210000001</v>
      </c>
      <c r="C6" s="10">
        <f t="shared" ref="C6:D6" si="1">+C8+C17</f>
        <v>4075757.777999999</v>
      </c>
      <c r="D6" s="10">
        <f t="shared" si="1"/>
        <v>4218365.6969999997</v>
      </c>
      <c r="E6" s="10">
        <f t="shared" ref="E6:W6" si="2">+E8+E17</f>
        <v>3843995.55</v>
      </c>
      <c r="F6" s="10">
        <f t="shared" si="2"/>
        <v>3705079.8270000005</v>
      </c>
      <c r="G6" s="10">
        <f t="shared" si="2"/>
        <v>3863386.4299999997</v>
      </c>
      <c r="H6" s="10">
        <f t="shared" si="2"/>
        <v>3869316.7339999997</v>
      </c>
      <c r="I6" s="10">
        <f t="shared" si="2"/>
        <v>3990586.8169999998</v>
      </c>
      <c r="J6" s="10">
        <f t="shared" si="2"/>
        <v>4190657.8159999996</v>
      </c>
      <c r="K6" s="10">
        <f t="shared" si="2"/>
        <v>0</v>
      </c>
      <c r="L6" s="10">
        <f t="shared" si="2"/>
        <v>0</v>
      </c>
      <c r="M6" s="10">
        <f t="shared" si="2"/>
        <v>0</v>
      </c>
      <c r="N6" s="10">
        <f t="shared" si="2"/>
        <v>0</v>
      </c>
      <c r="O6" s="10">
        <f t="shared" si="2"/>
        <v>0</v>
      </c>
      <c r="P6" s="10">
        <f t="shared" si="2"/>
        <v>0</v>
      </c>
      <c r="Q6" s="10">
        <f t="shared" si="2"/>
        <v>0</v>
      </c>
      <c r="R6" s="10">
        <f t="shared" si="2"/>
        <v>0</v>
      </c>
      <c r="S6" s="10">
        <f t="shared" si="2"/>
        <v>0</v>
      </c>
      <c r="T6" s="10">
        <f t="shared" si="2"/>
        <v>0</v>
      </c>
      <c r="U6" s="10">
        <f t="shared" si="2"/>
        <v>0</v>
      </c>
      <c r="V6" s="10">
        <f t="shared" si="2"/>
        <v>0</v>
      </c>
      <c r="W6" s="10">
        <f t="shared" si="2"/>
        <v>0</v>
      </c>
    </row>
    <row r="7" spans="1:23" s="8" customFormat="1" ht="15.75">
      <c r="A7" s="11"/>
      <c r="B7" s="12"/>
      <c r="C7" s="12"/>
      <c r="D7" s="12"/>
      <c r="E7" s="12"/>
      <c r="F7" s="12"/>
      <c r="G7" s="12"/>
      <c r="H7" s="12"/>
      <c r="I7" s="12"/>
      <c r="J7" s="12"/>
    </row>
    <row r="8" spans="1:23" s="8" customFormat="1" ht="15.75">
      <c r="A8" s="13" t="s">
        <v>5</v>
      </c>
      <c r="B8" s="14">
        <f t="shared" ref="B8:C8" si="3">SUM(B9:B15)</f>
        <v>395335.554</v>
      </c>
      <c r="C8" s="14">
        <f t="shared" si="3"/>
        <v>493801.24099999998</v>
      </c>
      <c r="D8" s="14">
        <f t="shared" ref="D8:W8" si="4">SUM(D9:D15)</f>
        <v>833565.61400000006</v>
      </c>
      <c r="E8" s="14">
        <f t="shared" si="4"/>
        <v>713496.94299999997</v>
      </c>
      <c r="F8" s="14">
        <f t="shared" si="4"/>
        <v>741420.19099999999</v>
      </c>
      <c r="G8" s="14">
        <f t="shared" si="4"/>
        <v>888897.04099999997</v>
      </c>
      <c r="H8" s="14">
        <f t="shared" si="4"/>
        <v>860987.37699999998</v>
      </c>
      <c r="I8" s="14">
        <f t="shared" si="4"/>
        <v>677284.1939999999</v>
      </c>
      <c r="J8" s="14">
        <f t="shared" si="4"/>
        <v>637178.52300000004</v>
      </c>
      <c r="K8" s="14">
        <f t="shared" si="4"/>
        <v>0</v>
      </c>
      <c r="L8" s="14">
        <f t="shared" si="4"/>
        <v>0</v>
      </c>
      <c r="M8" s="14">
        <f t="shared" si="4"/>
        <v>0</v>
      </c>
      <c r="N8" s="14">
        <f t="shared" si="4"/>
        <v>0</v>
      </c>
      <c r="O8" s="14">
        <f t="shared" si="4"/>
        <v>0</v>
      </c>
      <c r="P8" s="14">
        <f t="shared" si="4"/>
        <v>0</v>
      </c>
      <c r="Q8" s="14">
        <f t="shared" si="4"/>
        <v>0</v>
      </c>
      <c r="R8" s="14">
        <f t="shared" si="4"/>
        <v>0</v>
      </c>
      <c r="S8" s="14">
        <f t="shared" si="4"/>
        <v>0</v>
      </c>
      <c r="T8" s="14">
        <f t="shared" si="4"/>
        <v>0</v>
      </c>
      <c r="U8" s="14">
        <f t="shared" si="4"/>
        <v>0</v>
      </c>
      <c r="V8" s="14">
        <f t="shared" si="4"/>
        <v>0</v>
      </c>
      <c r="W8" s="14">
        <f t="shared" si="4"/>
        <v>0</v>
      </c>
    </row>
    <row r="9" spans="1:23" s="8" customFormat="1" ht="15">
      <c r="A9" s="15" t="s">
        <v>6</v>
      </c>
      <c r="B9" s="16">
        <v>35988.985000000001</v>
      </c>
      <c r="C9" s="16">
        <v>211246.125</v>
      </c>
      <c r="D9" s="16">
        <v>481906.74400000001</v>
      </c>
      <c r="E9" s="16">
        <v>416017.01500000001</v>
      </c>
      <c r="F9" s="16">
        <v>424477.30099999998</v>
      </c>
      <c r="G9" s="16">
        <v>486480.93400000001</v>
      </c>
      <c r="H9" s="16">
        <v>468343.02899999998</v>
      </c>
      <c r="I9" s="16">
        <v>248264.43</v>
      </c>
      <c r="J9" s="16">
        <v>269456.64500000002</v>
      </c>
    </row>
    <row r="10" spans="1:23" s="8" customFormat="1" ht="15">
      <c r="A10" s="15" t="s">
        <v>7</v>
      </c>
      <c r="B10" s="16">
        <v>231202.64300000001</v>
      </c>
      <c r="C10" s="16">
        <v>202242.815</v>
      </c>
      <c r="D10" s="16">
        <v>221866.05600000001</v>
      </c>
      <c r="E10" s="16">
        <v>176510.86300000001</v>
      </c>
      <c r="F10" s="16">
        <v>245659.155</v>
      </c>
      <c r="G10" s="16">
        <v>278678.30200000003</v>
      </c>
      <c r="H10" s="16">
        <v>235719.74299999999</v>
      </c>
      <c r="I10" s="16">
        <v>215359.378</v>
      </c>
      <c r="J10" s="16">
        <v>348330.72600000002</v>
      </c>
    </row>
    <row r="11" spans="1:23" s="8" customFormat="1" ht="15">
      <c r="A11" s="15" t="s">
        <v>8</v>
      </c>
      <c r="B11" s="16">
        <v>2187.8609999999999</v>
      </c>
      <c r="C11" s="16">
        <v>2188.2669999999998</v>
      </c>
      <c r="D11" s="16">
        <v>13117.316000000001</v>
      </c>
      <c r="E11" s="16">
        <v>53863.800999999999</v>
      </c>
      <c r="F11" s="16">
        <v>13728.661</v>
      </c>
      <c r="G11" s="16">
        <v>10639.708000000001</v>
      </c>
      <c r="H11" s="16">
        <v>22492.907999999999</v>
      </c>
      <c r="I11" s="16">
        <v>24833.112000000001</v>
      </c>
      <c r="J11" s="16">
        <v>0</v>
      </c>
    </row>
    <row r="12" spans="1:23" s="8" customFormat="1" ht="15">
      <c r="A12" s="15" t="s">
        <v>9</v>
      </c>
      <c r="B12" s="16">
        <v>0</v>
      </c>
      <c r="C12" s="16">
        <v>0</v>
      </c>
      <c r="D12" s="16"/>
      <c r="E12" s="16"/>
      <c r="F12" s="16"/>
      <c r="G12" s="16"/>
      <c r="H12" s="16">
        <v>20133.286</v>
      </c>
      <c r="I12" s="16">
        <v>30266.984</v>
      </c>
      <c r="J12" s="16">
        <v>0</v>
      </c>
    </row>
    <row r="13" spans="1:23" s="8" customFormat="1" ht="15">
      <c r="A13" s="15" t="s">
        <v>11</v>
      </c>
      <c r="B13" s="16">
        <v>866.84199999999998</v>
      </c>
      <c r="C13" s="16">
        <v>858.78899999999999</v>
      </c>
      <c r="D13" s="16">
        <v>2187.3090000000002</v>
      </c>
      <c r="E13" s="16">
        <v>922.745</v>
      </c>
      <c r="F13" s="16">
        <v>251.291</v>
      </c>
      <c r="G13" s="16">
        <v>180.857</v>
      </c>
      <c r="H13" s="16">
        <v>987.81799999999998</v>
      </c>
      <c r="I13" s="16">
        <v>5531.5770000000002</v>
      </c>
      <c r="J13" s="16">
        <v>9285.6679999999997</v>
      </c>
    </row>
    <row r="14" spans="1:23" s="8" customFormat="1" ht="15">
      <c r="A14" s="15" t="s">
        <v>12</v>
      </c>
      <c r="B14" s="16">
        <v>104556.798</v>
      </c>
      <c r="C14" s="16">
        <v>71979.020999999993</v>
      </c>
      <c r="D14" s="16">
        <v>101737.40700000001</v>
      </c>
      <c r="E14" s="16">
        <v>49098.608</v>
      </c>
      <c r="F14" s="16">
        <v>49756.262999999999</v>
      </c>
      <c r="G14" s="16">
        <v>105903.90300000001</v>
      </c>
      <c r="H14" s="16">
        <v>102479.08</v>
      </c>
      <c r="I14" s="16">
        <v>141443.454</v>
      </c>
      <c r="J14" s="16">
        <v>0</v>
      </c>
    </row>
    <row r="15" spans="1:23" s="8" customFormat="1" ht="15">
      <c r="A15" s="15" t="s">
        <v>13</v>
      </c>
      <c r="B15" s="16">
        <v>20532.424999999999</v>
      </c>
      <c r="C15" s="16">
        <v>5286.2240000000002</v>
      </c>
      <c r="D15" s="16">
        <v>12750.781999999999</v>
      </c>
      <c r="E15" s="16">
        <v>17083.911</v>
      </c>
      <c r="F15" s="16">
        <v>7547.52</v>
      </c>
      <c r="G15" s="16">
        <f>112917.24-G14</f>
        <v>7013.3369999999995</v>
      </c>
      <c r="H15" s="16">
        <f>113310.593-H14</f>
        <v>10831.512999999992</v>
      </c>
      <c r="I15" s="16">
        <f>153028.713-I14</f>
        <v>11585.258999999991</v>
      </c>
      <c r="J15" s="16">
        <v>10105.484</v>
      </c>
    </row>
    <row r="16" spans="1:23" s="8" customFormat="1" ht="15">
      <c r="A16" s="17"/>
      <c r="B16" s="12"/>
      <c r="C16" s="12"/>
      <c r="D16" s="12"/>
      <c r="E16" s="12"/>
      <c r="F16" s="12"/>
      <c r="G16" s="12"/>
      <c r="H16" s="12"/>
      <c r="I16" s="12"/>
      <c r="J16" s="12"/>
    </row>
    <row r="17" spans="1:23" s="8" customFormat="1" ht="15.75">
      <c r="A17" s="13" t="s">
        <v>14</v>
      </c>
      <c r="B17" s="14">
        <f t="shared" ref="B17:C17" si="5">SUM(B18:B26)</f>
        <v>3594750.3670000001</v>
      </c>
      <c r="C17" s="14">
        <f t="shared" si="5"/>
        <v>3581956.5369999991</v>
      </c>
      <c r="D17" s="14">
        <f t="shared" ref="D17:W17" si="6">SUM(D18:D26)</f>
        <v>3384800.0829999996</v>
      </c>
      <c r="E17" s="14">
        <f t="shared" si="6"/>
        <v>3130498.6069999998</v>
      </c>
      <c r="F17" s="14">
        <f t="shared" si="6"/>
        <v>2963659.6360000004</v>
      </c>
      <c r="G17" s="14">
        <f t="shared" si="6"/>
        <v>2974489.389</v>
      </c>
      <c r="H17" s="14">
        <f t="shared" si="6"/>
        <v>3008329.3569999998</v>
      </c>
      <c r="I17" s="14">
        <f t="shared" si="6"/>
        <v>3313302.6230000001</v>
      </c>
      <c r="J17" s="14">
        <f t="shared" si="6"/>
        <v>3553479.2929999996</v>
      </c>
      <c r="K17" s="14">
        <f t="shared" si="6"/>
        <v>0</v>
      </c>
      <c r="L17" s="14">
        <f t="shared" si="6"/>
        <v>0</v>
      </c>
      <c r="M17" s="14">
        <f t="shared" si="6"/>
        <v>0</v>
      </c>
      <c r="N17" s="14">
        <f t="shared" si="6"/>
        <v>0</v>
      </c>
      <c r="O17" s="14">
        <f t="shared" si="6"/>
        <v>0</v>
      </c>
      <c r="P17" s="14">
        <f t="shared" si="6"/>
        <v>0</v>
      </c>
      <c r="Q17" s="14">
        <f t="shared" si="6"/>
        <v>0</v>
      </c>
      <c r="R17" s="14">
        <f t="shared" si="6"/>
        <v>0</v>
      </c>
      <c r="S17" s="14">
        <f t="shared" si="6"/>
        <v>0</v>
      </c>
      <c r="T17" s="14">
        <f t="shared" si="6"/>
        <v>0</v>
      </c>
      <c r="U17" s="14">
        <f t="shared" si="6"/>
        <v>0</v>
      </c>
      <c r="V17" s="14">
        <f t="shared" si="6"/>
        <v>0</v>
      </c>
      <c r="W17" s="14">
        <f t="shared" si="6"/>
        <v>0</v>
      </c>
    </row>
    <row r="18" spans="1:23" s="8" customFormat="1" ht="15">
      <c r="A18" s="15" t="s">
        <v>15</v>
      </c>
      <c r="B18" s="16">
        <v>7657.4769999999999</v>
      </c>
      <c r="C18" s="16">
        <v>7880.2290000000003</v>
      </c>
      <c r="D18" s="16">
        <v>6478.78</v>
      </c>
      <c r="E18" s="16">
        <v>8167.1360000000004</v>
      </c>
      <c r="F18" s="16">
        <v>10750.007</v>
      </c>
      <c r="G18" s="16">
        <v>12075.811</v>
      </c>
      <c r="H18" s="16">
        <v>13045.63</v>
      </c>
      <c r="I18" s="16">
        <v>14094.838</v>
      </c>
      <c r="J18" s="16">
        <v>21525.165000000001</v>
      </c>
    </row>
    <row r="19" spans="1:23" s="8" customFormat="1" ht="15">
      <c r="A19" s="15" t="s">
        <v>16</v>
      </c>
      <c r="B19" s="16">
        <v>2632590.2969999998</v>
      </c>
      <c r="C19" s="16">
        <v>2636959.0240000002</v>
      </c>
      <c r="D19" s="16">
        <v>2525149.8829999999</v>
      </c>
      <c r="E19" s="16">
        <v>2296811.7140000002</v>
      </c>
      <c r="F19" s="16">
        <v>2163521.5580000002</v>
      </c>
      <c r="G19" s="16">
        <v>2117370.69</v>
      </c>
      <c r="H19" s="16">
        <v>2167643.2149999999</v>
      </c>
      <c r="I19" s="16">
        <v>2361154.0090000001</v>
      </c>
      <c r="J19" s="16">
        <v>2602614.9309999999</v>
      </c>
    </row>
    <row r="20" spans="1:23" s="8" customFormat="1" ht="15">
      <c r="A20" s="15" t="s">
        <v>17</v>
      </c>
      <c r="B20" s="16">
        <v>244330.334</v>
      </c>
      <c r="C20" s="16">
        <v>264991.848</v>
      </c>
      <c r="D20" s="16">
        <v>258083.04199999999</v>
      </c>
      <c r="E20" s="16">
        <v>234248.84599999999</v>
      </c>
      <c r="F20" s="16">
        <v>282543.32500000001</v>
      </c>
      <c r="G20" s="16">
        <v>330530.897</v>
      </c>
      <c r="H20" s="16">
        <v>384837.39600000001</v>
      </c>
      <c r="I20" s="16">
        <v>423219.70199999999</v>
      </c>
      <c r="J20" s="16">
        <v>458251.77600000001</v>
      </c>
    </row>
    <row r="21" spans="1:23" s="8" customFormat="1" ht="15">
      <c r="A21" s="15" t="s">
        <v>18</v>
      </c>
      <c r="B21" s="16">
        <v>34321.468999999997</v>
      </c>
      <c r="C21" s="16">
        <v>34166.82</v>
      </c>
      <c r="D21" s="16">
        <v>41744.224000000002</v>
      </c>
      <c r="E21" s="16">
        <v>46219.02</v>
      </c>
      <c r="F21" s="16">
        <v>53334.862999999998</v>
      </c>
      <c r="G21" s="16">
        <v>57467.904999999999</v>
      </c>
      <c r="H21" s="16">
        <v>0</v>
      </c>
      <c r="I21" s="16"/>
      <c r="J21" s="16"/>
    </row>
    <row r="22" spans="1:23" s="8" customFormat="1" ht="15">
      <c r="A22" s="15" t="s">
        <v>19</v>
      </c>
      <c r="B22" s="16">
        <v>57716.669000000002</v>
      </c>
      <c r="C22" s="16">
        <v>63243.504999999997</v>
      </c>
      <c r="D22" s="16">
        <v>63649.836000000003</v>
      </c>
      <c r="E22" s="16">
        <v>64096.04</v>
      </c>
      <c r="F22" s="16">
        <v>57797.955000000002</v>
      </c>
      <c r="G22" s="16">
        <v>53125.841</v>
      </c>
      <c r="H22" s="16">
        <v>48725.668000000005</v>
      </c>
      <c r="I22" s="16">
        <v>53699.368999999999</v>
      </c>
      <c r="J22" s="16">
        <v>66997.697</v>
      </c>
    </row>
    <row r="23" spans="1:23" s="8" customFormat="1" ht="15">
      <c r="A23" s="15" t="s">
        <v>20</v>
      </c>
      <c r="B23" s="16">
        <v>12400.023999999999</v>
      </c>
      <c r="C23" s="16">
        <v>10020.566999999999</v>
      </c>
      <c r="D23" s="16">
        <v>9096.5429999999997</v>
      </c>
      <c r="E23" s="16">
        <v>13275.562</v>
      </c>
      <c r="F23" s="16">
        <v>1406.4280000000001</v>
      </c>
      <c r="G23" s="16">
        <v>1406.4280000000001</v>
      </c>
      <c r="H23" s="16">
        <v>1406.4280000000001</v>
      </c>
      <c r="I23" s="16">
        <v>1406.4280000000001</v>
      </c>
      <c r="J23" s="16">
        <v>1406.4280000000001</v>
      </c>
    </row>
    <row r="24" spans="1:23" s="8" customFormat="1" ht="15">
      <c r="A24" s="15" t="s">
        <v>21</v>
      </c>
      <c r="B24" s="16">
        <v>544274.21900000004</v>
      </c>
      <c r="C24" s="16">
        <v>513330.46</v>
      </c>
      <c r="D24" s="16">
        <v>439386.51799999998</v>
      </c>
      <c r="E24" s="16">
        <v>445845.9</v>
      </c>
      <c r="F24" s="16">
        <v>393284.53</v>
      </c>
      <c r="G24" s="16">
        <v>401125.31300000002</v>
      </c>
      <c r="H24" s="16">
        <v>390447.69199999998</v>
      </c>
      <c r="I24" s="16">
        <v>453991.69400000002</v>
      </c>
      <c r="J24" s="16">
        <v>397622.283</v>
      </c>
    </row>
    <row r="25" spans="1:23" s="8" customFormat="1" ht="15">
      <c r="A25" s="15" t="s">
        <v>22</v>
      </c>
      <c r="B25" s="16">
        <v>60628.847999999998</v>
      </c>
      <c r="C25" s="16">
        <v>50631.483</v>
      </c>
      <c r="D25" s="16">
        <v>40574.817000000003</v>
      </c>
      <c r="E25" s="16">
        <v>20959.785</v>
      </c>
      <c r="F25" s="16"/>
      <c r="G25" s="16"/>
      <c r="H25" s="16"/>
      <c r="I25" s="16"/>
      <c r="J25" s="16"/>
    </row>
    <row r="26" spans="1:23" s="8" customFormat="1" ht="15">
      <c r="A26" s="15" t="s">
        <v>13</v>
      </c>
      <c r="B26" s="16">
        <v>831.03</v>
      </c>
      <c r="C26" s="16">
        <v>732.601</v>
      </c>
      <c r="D26" s="16">
        <v>636.44000000000005</v>
      </c>
      <c r="E26" s="16">
        <v>874.60399999999936</v>
      </c>
      <c r="F26" s="16">
        <v>1020.97</v>
      </c>
      <c r="G26" s="16">
        <v>1386.5039999999997</v>
      </c>
      <c r="H26" s="16">
        <f>3629.756-H23</f>
        <v>2223.3279999999995</v>
      </c>
      <c r="I26" s="16">
        <f>7143.011-I23</f>
        <v>5736.5830000000005</v>
      </c>
      <c r="J26" s="16">
        <f>6467.441-J23</f>
        <v>5061.0129999999999</v>
      </c>
    </row>
    <row r="27" spans="1:23" s="8" customFormat="1" ht="15">
      <c r="A27" s="18"/>
      <c r="B27" s="12"/>
      <c r="C27" s="12"/>
      <c r="D27" s="12"/>
      <c r="E27" s="12"/>
      <c r="F27" s="12"/>
      <c r="G27" s="12"/>
      <c r="H27" s="12"/>
      <c r="I27" s="12"/>
      <c r="J27" s="12"/>
    </row>
    <row r="28" spans="1:23" s="8" customFormat="1" ht="15.75">
      <c r="A28" s="9" t="s">
        <v>23</v>
      </c>
      <c r="B28" s="10">
        <f t="shared" ref="B28" si="7">+B30+B42</f>
        <v>1854981.1199999999</v>
      </c>
      <c r="C28" s="10">
        <f t="shared" ref="C28:D28" si="8">+C30+C42</f>
        <v>1916203.5090000001</v>
      </c>
      <c r="D28" s="10">
        <f t="shared" si="8"/>
        <v>2013534.946</v>
      </c>
      <c r="E28" s="10">
        <f t="shared" ref="E28:W28" si="9">+E30+E42</f>
        <v>1693797.5279999999</v>
      </c>
      <c r="F28" s="10">
        <f t="shared" si="9"/>
        <v>1724071.1260000002</v>
      </c>
      <c r="G28" s="10">
        <f t="shared" si="9"/>
        <v>1842773.6129999999</v>
      </c>
      <c r="H28" s="10">
        <f t="shared" si="9"/>
        <v>1970403.5870000001</v>
      </c>
      <c r="I28" s="10">
        <f t="shared" si="9"/>
        <v>2133364.048</v>
      </c>
      <c r="J28" s="10">
        <f t="shared" si="9"/>
        <v>2193238.8530000001</v>
      </c>
      <c r="K28" s="10">
        <f t="shared" si="9"/>
        <v>0</v>
      </c>
      <c r="L28" s="10">
        <f t="shared" si="9"/>
        <v>0</v>
      </c>
      <c r="M28" s="10">
        <f t="shared" si="9"/>
        <v>0</v>
      </c>
      <c r="N28" s="10">
        <f t="shared" si="9"/>
        <v>0</v>
      </c>
      <c r="O28" s="10">
        <f t="shared" si="9"/>
        <v>0</v>
      </c>
      <c r="P28" s="10">
        <f t="shared" si="9"/>
        <v>0</v>
      </c>
      <c r="Q28" s="10">
        <f t="shared" si="9"/>
        <v>0</v>
      </c>
      <c r="R28" s="10">
        <f t="shared" si="9"/>
        <v>0</v>
      </c>
      <c r="S28" s="10">
        <f t="shared" si="9"/>
        <v>0</v>
      </c>
      <c r="T28" s="10">
        <f t="shared" si="9"/>
        <v>0</v>
      </c>
      <c r="U28" s="10">
        <f t="shared" si="9"/>
        <v>0</v>
      </c>
      <c r="V28" s="10">
        <f t="shared" si="9"/>
        <v>0</v>
      </c>
      <c r="W28" s="10">
        <f t="shared" si="9"/>
        <v>0</v>
      </c>
    </row>
    <row r="29" spans="1:23" s="8" customFormat="1" ht="15">
      <c r="A29" s="18"/>
      <c r="B29" s="12"/>
      <c r="C29" s="12"/>
      <c r="D29" s="12"/>
      <c r="E29" s="12"/>
      <c r="F29" s="12"/>
      <c r="G29" s="12"/>
      <c r="H29" s="12"/>
      <c r="I29" s="12"/>
      <c r="J29" s="12"/>
    </row>
    <row r="30" spans="1:23" s="8" customFormat="1" ht="15.75">
      <c r="A30" s="13" t="s">
        <v>24</v>
      </c>
      <c r="B30" s="14">
        <f t="shared" ref="B30:C30" si="10">SUM(B31:B40)</f>
        <v>662422.67599999998</v>
      </c>
      <c r="C30" s="14">
        <f t="shared" si="10"/>
        <v>626984.95400000003</v>
      </c>
      <c r="D30" s="14">
        <f t="shared" ref="D30:W30" si="11">SUM(D31:D40)</f>
        <v>1096568.2039999999</v>
      </c>
      <c r="E30" s="14">
        <f t="shared" si="11"/>
        <v>870037.48100000003</v>
      </c>
      <c r="F30" s="14">
        <f t="shared" si="11"/>
        <v>614255.42099999997</v>
      </c>
      <c r="G30" s="14">
        <f t="shared" si="11"/>
        <v>702709.14199999999</v>
      </c>
      <c r="H30" s="14">
        <f t="shared" si="11"/>
        <v>582073.53900000011</v>
      </c>
      <c r="I30" s="14">
        <f t="shared" si="11"/>
        <v>556575.75699999998</v>
      </c>
      <c r="J30" s="14">
        <f t="shared" si="11"/>
        <v>671754.75</v>
      </c>
      <c r="K30" s="14">
        <f t="shared" si="11"/>
        <v>0</v>
      </c>
      <c r="L30" s="14">
        <f t="shared" si="11"/>
        <v>0</v>
      </c>
      <c r="M30" s="14">
        <f t="shared" si="11"/>
        <v>0</v>
      </c>
      <c r="N30" s="14">
        <f t="shared" si="11"/>
        <v>0</v>
      </c>
      <c r="O30" s="14">
        <f t="shared" si="11"/>
        <v>0</v>
      </c>
      <c r="P30" s="14">
        <f t="shared" si="11"/>
        <v>0</v>
      </c>
      <c r="Q30" s="14">
        <f t="shared" si="11"/>
        <v>0</v>
      </c>
      <c r="R30" s="14">
        <f t="shared" si="11"/>
        <v>0</v>
      </c>
      <c r="S30" s="14">
        <f t="shared" si="11"/>
        <v>0</v>
      </c>
      <c r="T30" s="14">
        <f t="shared" si="11"/>
        <v>0</v>
      </c>
      <c r="U30" s="14">
        <f t="shared" si="11"/>
        <v>0</v>
      </c>
      <c r="V30" s="14">
        <f t="shared" si="11"/>
        <v>0</v>
      </c>
      <c r="W30" s="14">
        <f t="shared" si="11"/>
        <v>0</v>
      </c>
    </row>
    <row r="31" spans="1:23" s="8" customFormat="1" ht="15">
      <c r="A31" s="19" t="s">
        <v>25</v>
      </c>
      <c r="B31" s="16">
        <v>214116.59899999999</v>
      </c>
      <c r="C31" s="16">
        <v>59766.885999999999</v>
      </c>
      <c r="D31" s="16"/>
      <c r="E31" s="16">
        <v>170000</v>
      </c>
      <c r="F31" s="16">
        <v>0</v>
      </c>
      <c r="G31" s="16">
        <v>0</v>
      </c>
      <c r="H31" s="16">
        <v>0</v>
      </c>
      <c r="I31" s="16">
        <v>0</v>
      </c>
      <c r="J31" s="16">
        <v>20000</v>
      </c>
    </row>
    <row r="32" spans="1:23" s="8" customFormat="1" ht="15">
      <c r="A32" s="31" t="s">
        <v>26</v>
      </c>
      <c r="B32" s="16"/>
      <c r="C32" s="16"/>
      <c r="D32" s="16">
        <v>354074</v>
      </c>
      <c r="E32" s="16"/>
      <c r="F32" s="16"/>
      <c r="G32" s="16"/>
      <c r="H32" s="16"/>
      <c r="I32" s="16"/>
      <c r="J32" s="16"/>
    </row>
    <row r="33" spans="1:23" s="8" customFormat="1" ht="15">
      <c r="A33" s="19" t="s">
        <v>27</v>
      </c>
      <c r="B33" s="16">
        <v>91747.207999999999</v>
      </c>
      <c r="C33" s="16">
        <v>152663.75599999999</v>
      </c>
      <c r="D33" s="16">
        <v>240556.37</v>
      </c>
      <c r="E33" s="16">
        <v>200227.359</v>
      </c>
      <c r="F33" s="16">
        <v>112714.6</v>
      </c>
      <c r="G33" s="16">
        <v>146049.80799999999</v>
      </c>
      <c r="H33" s="16">
        <v>102920.82799999999</v>
      </c>
      <c r="I33" s="16">
        <v>115404.734</v>
      </c>
      <c r="J33" s="16">
        <v>149192.49</v>
      </c>
    </row>
    <row r="34" spans="1:23" s="8" customFormat="1" ht="15">
      <c r="A34" s="19" t="s">
        <v>28</v>
      </c>
      <c r="B34" s="16">
        <v>218648.79800000001</v>
      </c>
      <c r="C34" s="16">
        <v>224219.60399999999</v>
      </c>
      <c r="D34" s="16">
        <v>217602.09400000001</v>
      </c>
      <c r="E34" s="16">
        <v>237887.61900000001</v>
      </c>
      <c r="F34" s="16">
        <v>207301.99600000001</v>
      </c>
      <c r="G34" s="16">
        <f>257923.984-G35</f>
        <v>222174.54499999998</v>
      </c>
      <c r="H34" s="16">
        <f>198567.768-H35</f>
        <v>196611.644</v>
      </c>
      <c r="I34" s="16">
        <f>196769.076-I35</f>
        <v>194812.95199999999</v>
      </c>
      <c r="J34" s="16">
        <f>301973.373-J35</f>
        <v>230014.51200000002</v>
      </c>
    </row>
    <row r="35" spans="1:23" s="8" customFormat="1" ht="15">
      <c r="A35" s="19" t="s">
        <v>29</v>
      </c>
      <c r="B35" s="16">
        <v>1952.1210000000001</v>
      </c>
      <c r="C35" s="16">
        <v>36652.262000000002</v>
      </c>
      <c r="D35" s="16">
        <v>65944.22</v>
      </c>
      <c r="E35" s="16">
        <v>62885.313000000002</v>
      </c>
      <c r="F35" s="16">
        <v>61654.527000000002</v>
      </c>
      <c r="G35" s="16">
        <f>35749439/1000</f>
        <v>35749.438999999998</v>
      </c>
      <c r="H35" s="16">
        <f>1956124/1000</f>
        <v>1956.124</v>
      </c>
      <c r="I35" s="16">
        <f>1956124/1000</f>
        <v>1956.124</v>
      </c>
      <c r="J35" s="16">
        <f>71958861/1000</f>
        <v>71958.861000000004</v>
      </c>
    </row>
    <row r="36" spans="1:23" s="8" customFormat="1" ht="15">
      <c r="A36" s="19" t="s">
        <v>30</v>
      </c>
      <c r="B36" s="16">
        <v>14294.65</v>
      </c>
      <c r="C36" s="16">
        <v>14186.745000000001</v>
      </c>
      <c r="D36" s="16">
        <v>14919.425999999999</v>
      </c>
      <c r="E36" s="16">
        <v>13863.287</v>
      </c>
      <c r="F36" s="16">
        <v>3174.8049999999998</v>
      </c>
      <c r="G36" s="16">
        <v>8581.6839999999993</v>
      </c>
      <c r="H36" s="16">
        <v>0</v>
      </c>
      <c r="I36" s="16">
        <v>0</v>
      </c>
      <c r="J36" s="16">
        <v>0</v>
      </c>
    </row>
    <row r="37" spans="1:23" s="8" customFormat="1" ht="15">
      <c r="A37" s="19" t="s">
        <v>31</v>
      </c>
      <c r="B37" s="16">
        <v>57241.542999999998</v>
      </c>
      <c r="C37" s="16">
        <v>66317.832999999999</v>
      </c>
      <c r="D37" s="16">
        <v>53648.841</v>
      </c>
      <c r="E37" s="16">
        <v>77745.876000000004</v>
      </c>
      <c r="F37" s="16">
        <v>76682.892000000007</v>
      </c>
      <c r="G37" s="16">
        <v>74490.857999999993</v>
      </c>
      <c r="H37" s="16">
        <v>63116.303</v>
      </c>
      <c r="I37" s="16">
        <v>74065.145000000004</v>
      </c>
      <c r="J37" s="16">
        <v>55872.953000000001</v>
      </c>
    </row>
    <row r="38" spans="1:23" s="8" customFormat="1" ht="15">
      <c r="A38" s="19" t="s">
        <v>32</v>
      </c>
      <c r="B38" s="16">
        <v>37570.398999999998</v>
      </c>
      <c r="C38" s="16">
        <v>49259.858</v>
      </c>
      <c r="D38" s="16">
        <v>39920.959000000003</v>
      </c>
      <c r="E38" s="16">
        <v>35431.044000000002</v>
      </c>
      <c r="F38" s="16">
        <v>64753.798999999999</v>
      </c>
      <c r="G38" s="16">
        <v>96592.531000000003</v>
      </c>
      <c r="H38" s="16">
        <v>90897.156000000003</v>
      </c>
      <c r="I38" s="16">
        <v>69607.858999999997</v>
      </c>
      <c r="J38" s="16">
        <v>38983.892999999996</v>
      </c>
    </row>
    <row r="39" spans="1:23" s="8" customFormat="1" ht="15">
      <c r="A39" s="19" t="s">
        <v>33</v>
      </c>
      <c r="B39" s="16">
        <v>3155.4430000000002</v>
      </c>
      <c r="C39" s="16">
        <v>2613.096</v>
      </c>
      <c r="D39" s="16">
        <v>5131.2889999999998</v>
      </c>
      <c r="E39" s="16">
        <v>4239.4579999999996</v>
      </c>
      <c r="F39" s="16">
        <v>16795.550999999999</v>
      </c>
      <c r="G39" s="16">
        <v>8296.3619999999992</v>
      </c>
      <c r="H39" s="16">
        <v>5912.2529999999997</v>
      </c>
      <c r="I39" s="16">
        <v>18863.797999999999</v>
      </c>
      <c r="J39" s="16">
        <v>4371.549</v>
      </c>
    </row>
    <row r="40" spans="1:23" s="8" customFormat="1" ht="15">
      <c r="A40" s="19" t="s">
        <v>34</v>
      </c>
      <c r="B40" s="16">
        <v>23695.915000000001</v>
      </c>
      <c r="C40" s="16">
        <v>21304.914000000001</v>
      </c>
      <c r="D40" s="16">
        <v>104771.005</v>
      </c>
      <c r="E40" s="16">
        <v>67757.524999999994</v>
      </c>
      <c r="F40" s="16">
        <v>71177.251000000004</v>
      </c>
      <c r="G40" s="16">
        <v>110773.91499999999</v>
      </c>
      <c r="H40" s="16">
        <v>120659.231</v>
      </c>
      <c r="I40" s="16">
        <v>81865.145000000004</v>
      </c>
      <c r="J40" s="16">
        <v>101360.492</v>
      </c>
    </row>
    <row r="41" spans="1:23" s="8" customFormat="1" ht="15">
      <c r="A41" s="18"/>
      <c r="B41" s="20"/>
      <c r="C41" s="20"/>
      <c r="D41" s="20"/>
      <c r="E41" s="20"/>
      <c r="F41" s="20"/>
      <c r="G41" s="20"/>
      <c r="H41" s="20"/>
      <c r="I41" s="20"/>
      <c r="J41" s="20"/>
    </row>
    <row r="42" spans="1:23" s="8" customFormat="1" ht="15.75">
      <c r="A42" s="13" t="s">
        <v>35</v>
      </c>
      <c r="B42" s="14">
        <f>SUM(B43:B49)</f>
        <v>1192558.4439999999</v>
      </c>
      <c r="C42" s="14">
        <f>SUM(C43:C49)</f>
        <v>1289218.5549999999</v>
      </c>
      <c r="D42" s="14">
        <f>SUM(D43:D49)</f>
        <v>916966.74199999997</v>
      </c>
      <c r="E42" s="14">
        <f t="shared" ref="E42:W42" si="12">SUM(E44:E49)</f>
        <v>823760.04700000002</v>
      </c>
      <c r="F42" s="14">
        <f t="shared" si="12"/>
        <v>1109815.7050000001</v>
      </c>
      <c r="G42" s="14">
        <f t="shared" si="12"/>
        <v>1140064.4709999999</v>
      </c>
      <c r="H42" s="14">
        <f t="shared" si="12"/>
        <v>1388330.048</v>
      </c>
      <c r="I42" s="14">
        <f t="shared" si="12"/>
        <v>1576788.291</v>
      </c>
      <c r="J42" s="14">
        <f t="shared" si="12"/>
        <v>1521484.1030000001</v>
      </c>
      <c r="K42" s="14">
        <f t="shared" si="12"/>
        <v>0</v>
      </c>
      <c r="L42" s="14">
        <f t="shared" si="12"/>
        <v>0</v>
      </c>
      <c r="M42" s="14">
        <f t="shared" si="12"/>
        <v>0</v>
      </c>
      <c r="N42" s="14">
        <f t="shared" si="12"/>
        <v>0</v>
      </c>
      <c r="O42" s="14">
        <f t="shared" si="12"/>
        <v>0</v>
      </c>
      <c r="P42" s="14">
        <f t="shared" si="12"/>
        <v>0</v>
      </c>
      <c r="Q42" s="14">
        <f t="shared" si="12"/>
        <v>0</v>
      </c>
      <c r="R42" s="14">
        <f t="shared" si="12"/>
        <v>0</v>
      </c>
      <c r="S42" s="14">
        <f t="shared" si="12"/>
        <v>0</v>
      </c>
      <c r="T42" s="14">
        <f t="shared" si="12"/>
        <v>0</v>
      </c>
      <c r="U42" s="14">
        <f t="shared" si="12"/>
        <v>0</v>
      </c>
      <c r="V42" s="14">
        <f t="shared" si="12"/>
        <v>0</v>
      </c>
      <c r="W42" s="14">
        <f t="shared" si="12"/>
        <v>0</v>
      </c>
    </row>
    <row r="43" spans="1:23" s="8" customFormat="1" ht="14.25" customHeight="1">
      <c r="A43" s="19" t="s">
        <v>25</v>
      </c>
      <c r="B43" s="16">
        <v>619825</v>
      </c>
      <c r="C43" s="16">
        <v>717975</v>
      </c>
      <c r="D43" s="20">
        <v>524000</v>
      </c>
      <c r="E43" s="20"/>
      <c r="F43" s="20"/>
      <c r="G43" s="20"/>
      <c r="H43" s="20"/>
      <c r="I43" s="20"/>
      <c r="J43" s="20"/>
    </row>
    <row r="44" spans="1:23" s="8" customFormat="1" ht="14.25" customHeight="1">
      <c r="A44" s="31" t="s">
        <v>26</v>
      </c>
      <c r="B44" s="20">
        <v>0</v>
      </c>
      <c r="C44" s="20">
        <v>0</v>
      </c>
      <c r="D44" s="20">
        <v>0</v>
      </c>
      <c r="E44" s="20">
        <v>354074</v>
      </c>
      <c r="F44" s="20">
        <v>354074</v>
      </c>
      <c r="G44" s="20">
        <v>354074</v>
      </c>
      <c r="H44" s="20">
        <v>530180</v>
      </c>
      <c r="I44" s="20">
        <v>530180</v>
      </c>
      <c r="J44" s="20">
        <v>530180</v>
      </c>
    </row>
    <row r="45" spans="1:23" s="8" customFormat="1" ht="15">
      <c r="A45" s="31" t="s">
        <v>36</v>
      </c>
      <c r="B45" s="16">
        <v>127158.739</v>
      </c>
      <c r="C45" s="20">
        <v>130018.776</v>
      </c>
      <c r="D45" s="20">
        <v>115302.19899999999</v>
      </c>
      <c r="E45" s="20">
        <v>128143.007</v>
      </c>
      <c r="F45" s="20">
        <v>155218.829</v>
      </c>
      <c r="G45" s="20">
        <v>172743.41200000001</v>
      </c>
      <c r="H45" s="20">
        <v>204231.05799999999</v>
      </c>
      <c r="I45" s="20">
        <v>257178.851</v>
      </c>
      <c r="J45" s="20">
        <v>319735.81699999998</v>
      </c>
    </row>
    <row r="46" spans="1:23" s="8" customFormat="1" ht="15">
      <c r="A46" s="31" t="s">
        <v>29</v>
      </c>
      <c r="B46" s="16">
        <v>299070.62800000003</v>
      </c>
      <c r="C46" s="20">
        <v>291770.35600000003</v>
      </c>
      <c r="D46" s="20">
        <v>213474.28099999999</v>
      </c>
      <c r="E46" s="20">
        <v>270425.44300000003</v>
      </c>
      <c r="F46" s="20">
        <v>328660.51899999997</v>
      </c>
      <c r="G46" s="20">
        <v>344747.81099999999</v>
      </c>
      <c r="H46" s="20">
        <v>408722.07199999999</v>
      </c>
      <c r="I46" s="20">
        <v>379744.647</v>
      </c>
      <c r="J46" s="20">
        <v>293069.26699999999</v>
      </c>
    </row>
    <row r="47" spans="1:23" s="8" customFormat="1" ht="15">
      <c r="A47" s="19" t="s">
        <v>30</v>
      </c>
      <c r="B47" s="16">
        <v>28700.514999999999</v>
      </c>
      <c r="C47" s="16">
        <v>29641.588</v>
      </c>
      <c r="D47" s="16">
        <v>34652.720999999998</v>
      </c>
      <c r="E47" s="16">
        <v>38544.658000000003</v>
      </c>
      <c r="F47" s="16">
        <v>54097.277999999998</v>
      </c>
      <c r="G47" s="16">
        <v>50376.4</v>
      </c>
      <c r="H47" s="16">
        <v>0</v>
      </c>
      <c r="I47" s="16">
        <v>0</v>
      </c>
      <c r="J47" s="16">
        <v>0</v>
      </c>
    </row>
    <row r="48" spans="1:23" s="8" customFormat="1" ht="15">
      <c r="A48" s="19" t="s">
        <v>33</v>
      </c>
      <c r="B48" s="16">
        <v>24879.292000000001</v>
      </c>
      <c r="C48" s="16">
        <v>24871.385999999999</v>
      </c>
      <c r="D48" s="16">
        <v>28318.615000000002</v>
      </c>
      <c r="E48" s="16">
        <v>30396.498</v>
      </c>
      <c r="F48" s="16">
        <v>215521.12299999999</v>
      </c>
      <c r="G48" s="16">
        <v>215828.71599999999</v>
      </c>
      <c r="H48" s="16">
        <v>242561.546</v>
      </c>
      <c r="I48" s="16">
        <v>405672.49099999998</v>
      </c>
      <c r="J48" s="16">
        <v>368077.94799999997</v>
      </c>
    </row>
    <row r="49" spans="1:23" s="8" customFormat="1" ht="15">
      <c r="A49" s="19" t="s">
        <v>34</v>
      </c>
      <c r="B49" s="16">
        <v>92924.27</v>
      </c>
      <c r="C49" s="20">
        <v>94941.448999999993</v>
      </c>
      <c r="D49" s="20">
        <v>1218.9259999999999</v>
      </c>
      <c r="E49" s="20">
        <v>2176.4409999999998</v>
      </c>
      <c r="F49" s="20">
        <v>2243.9560000000001</v>
      </c>
      <c r="G49" s="20">
        <v>2294.1320000000001</v>
      </c>
      <c r="H49" s="20">
        <v>2635.3719999999998</v>
      </c>
      <c r="I49" s="20">
        <v>4012.3020000000001</v>
      </c>
      <c r="J49" s="20">
        <v>10421.071</v>
      </c>
    </row>
    <row r="50" spans="1:23" s="8" customFormat="1" ht="15">
      <c r="A50" s="18"/>
      <c r="B50" s="12"/>
      <c r="C50" s="12"/>
      <c r="D50" s="12"/>
      <c r="E50" s="12"/>
      <c r="F50" s="12"/>
      <c r="G50" s="12"/>
      <c r="H50" s="12"/>
      <c r="I50" s="12"/>
      <c r="J50" s="12"/>
    </row>
    <row r="51" spans="1:23" s="8" customFormat="1" ht="15.75">
      <c r="A51" s="9" t="s">
        <v>37</v>
      </c>
      <c r="B51" s="10">
        <f t="shared" ref="B51:C51" si="13">SUM(B52:B58)</f>
        <v>2135104.801</v>
      </c>
      <c r="C51" s="10">
        <f t="shared" si="13"/>
        <v>2159554.2690000003</v>
      </c>
      <c r="D51" s="10">
        <f t="shared" ref="D51:W51" si="14">SUM(D52:D58)</f>
        <v>2204830.7510000002</v>
      </c>
      <c r="E51" s="10">
        <f t="shared" si="14"/>
        <v>2150198.0219999999</v>
      </c>
      <c r="F51" s="10">
        <f t="shared" si="14"/>
        <v>1981008.7009999999</v>
      </c>
      <c r="G51" s="10">
        <f t="shared" si="14"/>
        <v>2020612.8169999998</v>
      </c>
      <c r="H51" s="10">
        <f t="shared" si="14"/>
        <v>1898913.1469999996</v>
      </c>
      <c r="I51" s="10">
        <f t="shared" si="14"/>
        <v>1857222.7689999999</v>
      </c>
      <c r="J51" s="10">
        <f t="shared" si="14"/>
        <v>1997418.9630000002</v>
      </c>
      <c r="K51" s="10">
        <f t="shared" si="14"/>
        <v>0</v>
      </c>
      <c r="L51" s="10">
        <f t="shared" si="14"/>
        <v>0</v>
      </c>
      <c r="M51" s="10">
        <f t="shared" si="14"/>
        <v>0</v>
      </c>
      <c r="N51" s="10">
        <f t="shared" si="14"/>
        <v>0</v>
      </c>
      <c r="O51" s="10">
        <f t="shared" si="14"/>
        <v>0</v>
      </c>
      <c r="P51" s="10">
        <f t="shared" si="14"/>
        <v>0</v>
      </c>
      <c r="Q51" s="10">
        <f t="shared" si="14"/>
        <v>0</v>
      </c>
      <c r="R51" s="10">
        <f t="shared" si="14"/>
        <v>0</v>
      </c>
      <c r="S51" s="10">
        <f t="shared" si="14"/>
        <v>0</v>
      </c>
      <c r="T51" s="10">
        <f t="shared" si="14"/>
        <v>0</v>
      </c>
      <c r="U51" s="10">
        <f t="shared" si="14"/>
        <v>0</v>
      </c>
      <c r="V51" s="10">
        <f t="shared" si="14"/>
        <v>0</v>
      </c>
      <c r="W51" s="10">
        <f t="shared" si="14"/>
        <v>0</v>
      </c>
    </row>
    <row r="52" spans="1:23" s="8" customFormat="1" ht="15">
      <c r="A52" s="21" t="s">
        <v>38</v>
      </c>
      <c r="B52" s="20">
        <v>1924.4190000000001</v>
      </c>
      <c r="C52" s="20">
        <v>1924.4190000000001</v>
      </c>
      <c r="D52" s="20">
        <v>1924.4190000000001</v>
      </c>
      <c r="E52" s="20">
        <v>1924.4190000000001</v>
      </c>
      <c r="F52" s="20">
        <v>1924.4190000000001</v>
      </c>
      <c r="G52" s="20">
        <v>1924.4190000000001</v>
      </c>
      <c r="H52" s="20">
        <v>1924.4190000000001</v>
      </c>
      <c r="I52" s="20">
        <v>1924.4190000000001</v>
      </c>
      <c r="J52" s="20">
        <v>1924.4190000000001</v>
      </c>
    </row>
    <row r="53" spans="1:23" s="8" customFormat="1" ht="15">
      <c r="A53" s="21" t="s">
        <v>39</v>
      </c>
      <c r="B53" s="20">
        <v>262471.46600000001</v>
      </c>
      <c r="C53" s="20">
        <v>262471.46600000001</v>
      </c>
      <c r="D53" s="20">
        <v>262471.46600000001</v>
      </c>
      <c r="E53" s="20">
        <v>262471.46600000001</v>
      </c>
      <c r="F53" s="20">
        <v>262471.46600000001</v>
      </c>
      <c r="G53" s="20">
        <v>262471.46600000001</v>
      </c>
      <c r="H53" s="20">
        <v>262471.46600000001</v>
      </c>
      <c r="I53" s="20">
        <v>262471.46600000001</v>
      </c>
      <c r="J53" s="20">
        <v>262471.46600000001</v>
      </c>
    </row>
    <row r="54" spans="1:23" s="8" customFormat="1" ht="15">
      <c r="A54" s="21" t="s">
        <v>40</v>
      </c>
      <c r="B54" s="20">
        <v>1326453.4639999999</v>
      </c>
      <c r="C54" s="20">
        <v>1326453.4639999999</v>
      </c>
      <c r="D54" s="20">
        <v>1326453.4639999999</v>
      </c>
      <c r="E54" s="20">
        <v>1570451.023</v>
      </c>
      <c r="F54" s="20">
        <v>1570451.023</v>
      </c>
      <c r="G54" s="20">
        <v>1570451.023</v>
      </c>
      <c r="H54" s="20">
        <v>1570451.023</v>
      </c>
      <c r="I54" s="20">
        <v>1570451.023</v>
      </c>
      <c r="J54" s="20">
        <v>1581081.044</v>
      </c>
    </row>
    <row r="55" spans="1:23" s="8" customFormat="1" ht="15">
      <c r="A55" s="21" t="s">
        <v>41</v>
      </c>
      <c r="B55" s="20">
        <v>851454.85</v>
      </c>
      <c r="C55" s="20">
        <v>851454.85</v>
      </c>
      <c r="D55" s="20">
        <v>851454.85</v>
      </c>
      <c r="E55" s="20">
        <v>851454.85</v>
      </c>
      <c r="F55" s="20">
        <v>851454.85</v>
      </c>
      <c r="G55" s="20">
        <v>851454.85</v>
      </c>
      <c r="H55" s="20">
        <v>851454.85</v>
      </c>
      <c r="I55" s="20">
        <v>851454.85</v>
      </c>
      <c r="J55" s="20">
        <v>851454.85</v>
      </c>
    </row>
    <row r="56" spans="1:23" s="8" customFormat="1" ht="15">
      <c r="A56" s="21" t="s">
        <v>42</v>
      </c>
      <c r="B56" s="20">
        <v>-396285.61300000001</v>
      </c>
      <c r="C56" s="20">
        <v>-359079.94799999997</v>
      </c>
      <c r="D56" s="20">
        <v>-408173.30200000003</v>
      </c>
      <c r="E56" s="20">
        <v>-790875.31099999999</v>
      </c>
      <c r="F56" s="20">
        <v>-772202.16399999999</v>
      </c>
      <c r="G56" s="20">
        <v>-851186.473</v>
      </c>
      <c r="H56" s="20">
        <v>-851923.39</v>
      </c>
      <c r="I56" s="20">
        <v>-701945.15800000005</v>
      </c>
      <c r="J56" s="20">
        <v>-475681.46799999999</v>
      </c>
    </row>
    <row r="57" spans="1:23" s="8" customFormat="1" ht="15">
      <c r="A57" s="21" t="s">
        <v>43</v>
      </c>
      <c r="B57" s="20">
        <v>-26645.054</v>
      </c>
      <c r="C57" s="20">
        <v>-37205.665000000001</v>
      </c>
      <c r="D57" s="20">
        <v>49093.353999999999</v>
      </c>
      <c r="E57" s="20">
        <v>138704.45000000001</v>
      </c>
      <c r="F57" s="20">
        <v>-38337.563000000002</v>
      </c>
      <c r="G57" s="20">
        <v>78984.308999999994</v>
      </c>
      <c r="H57" s="20">
        <v>736.91700000000003</v>
      </c>
      <c r="I57" s="20">
        <v>-149978.23199999999</v>
      </c>
      <c r="J57" s="20">
        <v>-226263.69</v>
      </c>
    </row>
    <row r="58" spans="1:23" s="8" customFormat="1" ht="15">
      <c r="A58" s="21" t="s">
        <v>44</v>
      </c>
      <c r="B58" s="20">
        <v>115731.269</v>
      </c>
      <c r="C58" s="20">
        <v>113535.683</v>
      </c>
      <c r="D58" s="20">
        <v>121606.5</v>
      </c>
      <c r="E58" s="20">
        <v>116067.125</v>
      </c>
      <c r="F58" s="20">
        <v>105246.67</v>
      </c>
      <c r="G58" s="20">
        <v>106513.223</v>
      </c>
      <c r="H58" s="20">
        <v>63797.862000000001</v>
      </c>
      <c r="I58" s="20">
        <v>22844.401000000002</v>
      </c>
      <c r="J58" s="20">
        <v>2432.3420000000001</v>
      </c>
    </row>
    <row r="59" spans="1:23" s="8" customFormat="1" ht="15">
      <c r="A59" s="21"/>
      <c r="B59" s="20"/>
      <c r="C59" s="20"/>
      <c r="D59" s="20"/>
      <c r="E59" s="20"/>
      <c r="F59" s="20"/>
      <c r="G59" s="20"/>
      <c r="H59" s="20"/>
      <c r="I59" s="20"/>
      <c r="J59" s="20"/>
    </row>
    <row r="60" spans="1:23" s="8" customFormat="1" ht="15.75">
      <c r="A60" s="9" t="s">
        <v>45</v>
      </c>
      <c r="B60" s="10">
        <f t="shared" ref="B60:C60" si="15">+B28+B51</f>
        <v>3990085.9210000001</v>
      </c>
      <c r="C60" s="10">
        <f t="shared" si="15"/>
        <v>4075757.7780000004</v>
      </c>
      <c r="D60" s="10">
        <f t="shared" ref="D60:J60" si="16">+D28+D51</f>
        <v>4218365.6970000006</v>
      </c>
      <c r="E60" s="10">
        <f t="shared" si="16"/>
        <v>3843995.55</v>
      </c>
      <c r="F60" s="10">
        <f t="shared" si="16"/>
        <v>3705079.827</v>
      </c>
      <c r="G60" s="10">
        <f t="shared" si="16"/>
        <v>3863386.4299999997</v>
      </c>
      <c r="H60" s="10">
        <f t="shared" si="16"/>
        <v>3869316.7339999997</v>
      </c>
      <c r="I60" s="10">
        <f t="shared" si="16"/>
        <v>3990586.8169999998</v>
      </c>
      <c r="J60" s="10">
        <f t="shared" si="16"/>
        <v>4190657.8160000006</v>
      </c>
      <c r="K60" s="10">
        <f t="shared" ref="K60:U60" si="17">+K28+K51</f>
        <v>0</v>
      </c>
      <c r="L60" s="10">
        <f t="shared" si="17"/>
        <v>0</v>
      </c>
      <c r="M60" s="10">
        <f t="shared" si="17"/>
        <v>0</v>
      </c>
      <c r="N60" s="10">
        <f t="shared" si="17"/>
        <v>0</v>
      </c>
      <c r="O60" s="10">
        <f t="shared" si="17"/>
        <v>0</v>
      </c>
      <c r="P60" s="10">
        <f t="shared" si="17"/>
        <v>0</v>
      </c>
      <c r="Q60" s="10">
        <f t="shared" si="17"/>
        <v>0</v>
      </c>
      <c r="R60" s="10">
        <f t="shared" si="17"/>
        <v>0</v>
      </c>
      <c r="S60" s="10">
        <f t="shared" si="17"/>
        <v>0</v>
      </c>
      <c r="T60" s="10">
        <f t="shared" si="17"/>
        <v>0</v>
      </c>
      <c r="U60" s="10">
        <f t="shared" si="17"/>
        <v>0</v>
      </c>
      <c r="V60" s="10">
        <f t="shared" ref="V60:W60" si="18">+V28+V51</f>
        <v>0</v>
      </c>
      <c r="W60" s="10">
        <f t="shared" si="18"/>
        <v>0</v>
      </c>
    </row>
    <row r="61" spans="1:23" s="8" customFormat="1" ht="15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</row>
    <row r="62" spans="1:23" s="8" customFormat="1" ht="15">
      <c r="A62" s="22"/>
      <c r="B62" s="23">
        <f t="shared" ref="B62:C62" si="19">+B6-B60</f>
        <v>0</v>
      </c>
      <c r="C62" s="23">
        <f t="shared" si="19"/>
        <v>0</v>
      </c>
      <c r="D62" s="23">
        <f t="shared" ref="D62:F62" si="20">+D6-D60</f>
        <v>0</v>
      </c>
      <c r="E62" s="23">
        <f t="shared" si="20"/>
        <v>0</v>
      </c>
      <c r="F62" s="23">
        <f t="shared" si="20"/>
        <v>0</v>
      </c>
      <c r="G62" s="23">
        <f>+G6-G60</f>
        <v>0</v>
      </c>
      <c r="H62" s="23">
        <f>+H6-H60</f>
        <v>0</v>
      </c>
      <c r="I62" s="23">
        <f>+I6-I60</f>
        <v>0</v>
      </c>
      <c r="J62" s="23">
        <f>+J6-J60</f>
        <v>0</v>
      </c>
      <c r="K62" s="23">
        <f t="shared" ref="K62:U62" si="21">+K6-K60</f>
        <v>0</v>
      </c>
      <c r="L62" s="23">
        <f t="shared" si="21"/>
        <v>0</v>
      </c>
      <c r="M62" s="23">
        <f t="shared" si="21"/>
        <v>0</v>
      </c>
      <c r="N62" s="23">
        <f t="shared" si="21"/>
        <v>0</v>
      </c>
      <c r="O62" s="23">
        <f t="shared" si="21"/>
        <v>0</v>
      </c>
      <c r="P62" s="23">
        <f t="shared" si="21"/>
        <v>0</v>
      </c>
      <c r="Q62" s="23">
        <f t="shared" si="21"/>
        <v>0</v>
      </c>
      <c r="R62" s="23">
        <f t="shared" si="21"/>
        <v>0</v>
      </c>
      <c r="S62" s="23">
        <f t="shared" si="21"/>
        <v>0</v>
      </c>
      <c r="T62" s="23">
        <f t="shared" si="21"/>
        <v>0</v>
      </c>
      <c r="U62" s="23">
        <f t="shared" si="21"/>
        <v>0</v>
      </c>
      <c r="V62" s="23">
        <f t="shared" ref="V62:W62" si="22">+V6-V60</f>
        <v>0</v>
      </c>
      <c r="W62" s="23">
        <f t="shared" si="22"/>
        <v>0</v>
      </c>
    </row>
    <row r="63" spans="1:23" s="8" customFormat="1" ht="15">
      <c r="A63" s="18"/>
      <c r="B63" s="18"/>
      <c r="C63" s="18"/>
      <c r="D63" s="18"/>
      <c r="E63" s="18"/>
      <c r="F63" s="18"/>
    </row>
    <row r="64" spans="1:23" s="8" customFormat="1" ht="15.75">
      <c r="A64" s="9" t="s">
        <v>48</v>
      </c>
      <c r="B64" s="10">
        <f>+B8-B30</f>
        <v>-267087.12199999997</v>
      </c>
      <c r="C64" s="10">
        <f>+C8-C30</f>
        <v>-133183.71300000005</v>
      </c>
      <c r="D64" s="10">
        <f>+D8-D30</f>
        <v>-263002.58999999985</v>
      </c>
      <c r="E64" s="10">
        <f t="shared" ref="E64:J64" si="23">+E8-E30</f>
        <v>-156540.53800000006</v>
      </c>
      <c r="F64" s="10">
        <f t="shared" si="23"/>
        <v>127164.77000000002</v>
      </c>
      <c r="G64" s="10">
        <f t="shared" si="23"/>
        <v>186187.89899999998</v>
      </c>
      <c r="H64" s="10">
        <f t="shared" si="23"/>
        <v>278913.83799999987</v>
      </c>
      <c r="I64" s="10">
        <f t="shared" si="23"/>
        <v>120708.43699999992</v>
      </c>
      <c r="J64" s="10">
        <f t="shared" si="23"/>
        <v>-34576.226999999955</v>
      </c>
      <c r="K64" s="10">
        <f t="shared" ref="K64:U64" si="24">+K8-K30</f>
        <v>0</v>
      </c>
      <c r="L64" s="10">
        <f t="shared" si="24"/>
        <v>0</v>
      </c>
      <c r="M64" s="10">
        <f t="shared" si="24"/>
        <v>0</v>
      </c>
      <c r="N64" s="10">
        <f t="shared" si="24"/>
        <v>0</v>
      </c>
      <c r="O64" s="10">
        <f t="shared" si="24"/>
        <v>0</v>
      </c>
      <c r="P64" s="10">
        <f t="shared" si="24"/>
        <v>0</v>
      </c>
      <c r="Q64" s="10">
        <f t="shared" si="24"/>
        <v>0</v>
      </c>
      <c r="R64" s="10">
        <f t="shared" si="24"/>
        <v>0</v>
      </c>
      <c r="S64" s="10">
        <f t="shared" si="24"/>
        <v>0</v>
      </c>
      <c r="T64" s="10">
        <f t="shared" si="24"/>
        <v>0</v>
      </c>
      <c r="U64" s="10">
        <f t="shared" si="24"/>
        <v>0</v>
      </c>
      <c r="V64" s="10">
        <f t="shared" ref="V64:W64" si="25">+V8-V30</f>
        <v>0</v>
      </c>
      <c r="W64" s="10">
        <f t="shared" si="25"/>
        <v>0</v>
      </c>
    </row>
    <row r="65" spans="1:6" s="8" customFormat="1" ht="15">
      <c r="A65" s="18"/>
      <c r="B65" s="18"/>
      <c r="C65" s="18"/>
      <c r="D65" s="18"/>
      <c r="E65" s="18"/>
      <c r="F65" s="18"/>
    </row>
    <row r="66" spans="1:6" s="8" customFormat="1" ht="15">
      <c r="A66" s="18"/>
      <c r="B66" s="18"/>
      <c r="C66" s="18"/>
      <c r="D66" s="18"/>
      <c r="E66" s="18"/>
      <c r="F66" s="18"/>
    </row>
    <row r="67" spans="1:6" s="8" customFormat="1" ht="15">
      <c r="A67" s="18"/>
      <c r="B67" s="18"/>
      <c r="C67" s="18"/>
      <c r="D67" s="18"/>
      <c r="E67" s="18"/>
      <c r="F67" s="18"/>
    </row>
    <row r="68" spans="1:6" s="8" customFormat="1" ht="15">
      <c r="A68" s="18"/>
      <c r="B68" s="18"/>
      <c r="C68" s="18"/>
      <c r="D68" s="18"/>
      <c r="E68" s="18"/>
      <c r="F68" s="18"/>
    </row>
  </sheetData>
  <mergeCells count="1">
    <mergeCell ref="A2:H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P21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6" sqref="A6"/>
      <selection pane="bottomRight" activeCell="E9" sqref="E9"/>
    </sheetView>
  </sheetViews>
  <sheetFormatPr baseColWidth="10" defaultColWidth="11.42578125" defaultRowHeight="18"/>
  <cols>
    <col min="1" max="1" width="37.85546875" style="2" bestFit="1" customWidth="1"/>
    <col min="2" max="2" width="12.85546875" style="2" bestFit="1" customWidth="1"/>
    <col min="3" max="6" width="12.85546875" style="1" bestFit="1" customWidth="1"/>
    <col min="7" max="9" width="12.85546875" style="2" bestFit="1" customWidth="1"/>
    <col min="10" max="10" width="12" bestFit="1" customWidth="1"/>
    <col min="16" max="16" width="11.7109375" style="1" bestFit="1" customWidth="1"/>
    <col min="17" max="16384" width="11.42578125" style="1"/>
  </cols>
  <sheetData>
    <row r="1" spans="1:16" ht="15">
      <c r="A1" s="3" t="s">
        <v>2</v>
      </c>
      <c r="B1" s="3"/>
      <c r="E1" s="3"/>
      <c r="F1" s="3"/>
      <c r="G1" s="3"/>
      <c r="H1" s="3"/>
      <c r="I1" s="3"/>
    </row>
    <row r="2" spans="1:16" ht="15">
      <c r="A2" s="3"/>
      <c r="B2" s="3"/>
      <c r="E2" s="3"/>
      <c r="F2" s="3"/>
      <c r="G2" s="3"/>
      <c r="H2" s="3"/>
      <c r="I2" s="3"/>
    </row>
    <row r="3" spans="1:16" s="8" customFormat="1" ht="15.75">
      <c r="A3" s="7" t="s">
        <v>3</v>
      </c>
      <c r="B3" s="7">
        <v>2015</v>
      </c>
      <c r="C3" s="7">
        <v>2016</v>
      </c>
      <c r="D3" s="7">
        <v>2017</v>
      </c>
      <c r="E3" s="7">
        <v>2018</v>
      </c>
      <c r="F3" s="7">
        <v>2019</v>
      </c>
      <c r="G3" s="7">
        <v>2020</v>
      </c>
      <c r="H3" s="7">
        <v>2021</v>
      </c>
      <c r="I3" s="7">
        <v>2022</v>
      </c>
      <c r="J3" s="7">
        <v>2023</v>
      </c>
    </row>
    <row r="4" spans="1:16" s="8" customFormat="1" ht="15">
      <c r="A4" s="18"/>
      <c r="B4" s="18"/>
      <c r="C4" s="12"/>
      <c r="D4" s="12"/>
      <c r="E4" s="12"/>
      <c r="F4" s="12"/>
      <c r="G4" s="12"/>
      <c r="H4" s="12"/>
      <c r="I4" s="12"/>
      <c r="J4" s="12"/>
    </row>
    <row r="5" spans="1:16" s="8" customFormat="1" ht="15.75">
      <c r="A5" s="9" t="s">
        <v>37</v>
      </c>
      <c r="B5" s="10">
        <f t="shared" ref="B5:H5" si="0">SUM(B6:B12)</f>
        <v>2278611.7509999997</v>
      </c>
      <c r="C5" s="10">
        <f t="shared" si="0"/>
        <v>1997418.9630000002</v>
      </c>
      <c r="D5" s="10">
        <f t="shared" si="0"/>
        <v>1857222.7689999999</v>
      </c>
      <c r="E5" s="10">
        <f t="shared" si="0"/>
        <v>1898913.1469999996</v>
      </c>
      <c r="F5" s="10">
        <f t="shared" si="0"/>
        <v>2020612.8169999998</v>
      </c>
      <c r="G5" s="10">
        <f t="shared" si="0"/>
        <v>1981008.7009999999</v>
      </c>
      <c r="H5" s="10">
        <f t="shared" si="0"/>
        <v>2150198.0219999999</v>
      </c>
      <c r="I5" s="10">
        <f t="shared" ref="I5:J5" si="1">SUM(I6:I12)</f>
        <v>2204830.7510000002</v>
      </c>
      <c r="J5" s="10">
        <f t="shared" si="1"/>
        <v>2159554.2690000003</v>
      </c>
      <c r="P5" s="33"/>
    </row>
    <row r="6" spans="1:16" s="8" customFormat="1" ht="15">
      <c r="A6" s="21" t="s">
        <v>38</v>
      </c>
      <c r="B6" s="20">
        <v>1924.4190000000001</v>
      </c>
      <c r="C6" s="20">
        <v>1924.4190000000001</v>
      </c>
      <c r="D6" s="20">
        <v>1924.4190000000001</v>
      </c>
      <c r="E6" s="20">
        <v>1924.4190000000001</v>
      </c>
      <c r="F6" s="20">
        <v>1924.4190000000001</v>
      </c>
      <c r="G6" s="20">
        <v>1924.4190000000001</v>
      </c>
      <c r="H6" s="20">
        <v>1924.4190000000001</v>
      </c>
      <c r="I6" s="20">
        <v>1924.4190000000001</v>
      </c>
      <c r="J6" s="20">
        <v>1924.4190000000001</v>
      </c>
    </row>
    <row r="7" spans="1:16" s="8" customFormat="1" ht="15">
      <c r="A7" s="21" t="s">
        <v>39</v>
      </c>
      <c r="B7" s="20">
        <v>262471.46600000001</v>
      </c>
      <c r="C7" s="20">
        <v>262471.46600000001</v>
      </c>
      <c r="D7" s="20">
        <v>262471.46600000001</v>
      </c>
      <c r="E7" s="20">
        <v>262471.46600000001</v>
      </c>
      <c r="F7" s="20">
        <v>262471.46600000001</v>
      </c>
      <c r="G7" s="20">
        <v>262471.46600000001</v>
      </c>
      <c r="H7" s="20">
        <v>262471.46600000001</v>
      </c>
      <c r="I7" s="20">
        <v>262471.46600000001</v>
      </c>
      <c r="J7" s="20">
        <v>262471.46600000001</v>
      </c>
    </row>
    <row r="8" spans="1:16" s="8" customFormat="1" ht="15">
      <c r="A8" s="21" t="s">
        <v>40</v>
      </c>
      <c r="B8" s="20">
        <v>1607587.7509999999</v>
      </c>
      <c r="C8" s="20">
        <v>1581081.044</v>
      </c>
      <c r="D8" s="20">
        <v>1570451.023</v>
      </c>
      <c r="E8" s="20">
        <v>1570451.023</v>
      </c>
      <c r="F8" s="20">
        <v>1570451.023</v>
      </c>
      <c r="G8" s="20">
        <v>1570451.023</v>
      </c>
      <c r="H8" s="20">
        <v>1570451.023</v>
      </c>
      <c r="I8" s="20">
        <v>1326453.4639999999</v>
      </c>
      <c r="J8" s="20">
        <v>1326453.4639999999</v>
      </c>
    </row>
    <row r="9" spans="1:16" s="8" customFormat="1" ht="15">
      <c r="A9" s="21" t="s">
        <v>41</v>
      </c>
      <c r="B9" s="20">
        <v>851454.85</v>
      </c>
      <c r="C9" s="20">
        <v>851454.85</v>
      </c>
      <c r="D9" s="20">
        <v>851454.85</v>
      </c>
      <c r="E9" s="20">
        <v>851454.85</v>
      </c>
      <c r="F9" s="20">
        <v>851454.85</v>
      </c>
      <c r="G9" s="20">
        <v>851454.85</v>
      </c>
      <c r="H9" s="20">
        <v>851454.85</v>
      </c>
      <c r="I9" s="20">
        <v>851454.85</v>
      </c>
      <c r="J9" s="20">
        <v>851454.85</v>
      </c>
    </row>
    <row r="10" spans="1:16" s="8" customFormat="1" ht="15">
      <c r="A10" s="21" t="s">
        <v>42</v>
      </c>
      <c r="B10" s="20">
        <v>-407022.73700000002</v>
      </c>
      <c r="C10" s="20">
        <v>-475681.46799999999</v>
      </c>
      <c r="D10" s="20">
        <v>-701945.15800000005</v>
      </c>
      <c r="E10" s="20">
        <v>-851923.39</v>
      </c>
      <c r="F10" s="20">
        <v>-851186.473</v>
      </c>
      <c r="G10" s="20">
        <v>-772202.16399999999</v>
      </c>
      <c r="H10" s="20">
        <v>-790875.31099999999</v>
      </c>
      <c r="I10" s="20">
        <v>-408173.30200000003</v>
      </c>
      <c r="J10" s="20">
        <v>-359079.94799999997</v>
      </c>
    </row>
    <row r="11" spans="1:16" s="8" customFormat="1" ht="15">
      <c r="A11" s="21" t="s">
        <v>43</v>
      </c>
      <c r="B11" s="20">
        <v>-68658.731</v>
      </c>
      <c r="C11" s="20">
        <v>-226263.69</v>
      </c>
      <c r="D11" s="20">
        <v>-149978.23199999999</v>
      </c>
      <c r="E11" s="20">
        <v>736.91700000000003</v>
      </c>
      <c r="F11" s="20">
        <v>78984.308999999994</v>
      </c>
      <c r="G11" s="20">
        <v>-38337.563000000002</v>
      </c>
      <c r="H11" s="20">
        <v>138704.45000000001</v>
      </c>
      <c r="I11" s="20">
        <v>49093.353999999999</v>
      </c>
      <c r="J11" s="20">
        <v>-37205.665000000001</v>
      </c>
    </row>
    <row r="12" spans="1:16" s="8" customFormat="1" ht="15">
      <c r="A12" s="21" t="s">
        <v>44</v>
      </c>
      <c r="B12" s="20">
        <v>30854.733</v>
      </c>
      <c r="C12" s="20">
        <v>2432.3420000000001</v>
      </c>
      <c r="D12" s="20">
        <v>22844.401000000002</v>
      </c>
      <c r="E12" s="20">
        <v>63797.862000000001</v>
      </c>
      <c r="F12" s="20">
        <v>106513.223</v>
      </c>
      <c r="G12" s="20">
        <v>105246.67</v>
      </c>
      <c r="H12" s="20">
        <v>116067.125</v>
      </c>
      <c r="I12" s="20">
        <v>121606.5</v>
      </c>
      <c r="J12" s="20">
        <v>113535.683</v>
      </c>
    </row>
    <row r="13" spans="1:16" s="8" customFormat="1" ht="15">
      <c r="A13" s="21"/>
      <c r="B13" s="21"/>
      <c r="C13" s="20"/>
      <c r="D13" s="20"/>
      <c r="E13" s="20"/>
      <c r="F13" s="20"/>
      <c r="G13" s="20"/>
      <c r="H13" s="20"/>
      <c r="I13" s="20"/>
    </row>
    <row r="14" spans="1:16">
      <c r="B14" s="49"/>
      <c r="C14" s="20"/>
      <c r="D14" s="20"/>
      <c r="E14" s="20"/>
      <c r="F14" s="20"/>
      <c r="G14" s="20"/>
      <c r="H14" s="20"/>
      <c r="I14" s="20"/>
    </row>
    <row r="15" spans="1:16">
      <c r="C15" s="20"/>
      <c r="D15" s="20"/>
      <c r="E15" s="20"/>
      <c r="F15" s="20"/>
      <c r="G15" s="20"/>
      <c r="H15" s="20"/>
      <c r="I15" s="20"/>
    </row>
    <row r="16" spans="1:16">
      <c r="C16" s="20"/>
      <c r="D16" s="20"/>
      <c r="E16" s="20"/>
      <c r="F16" s="20"/>
      <c r="G16" s="20"/>
      <c r="H16" s="20"/>
      <c r="I16" s="20"/>
    </row>
    <row r="17" spans="3:9">
      <c r="C17" s="20"/>
      <c r="D17" s="20"/>
      <c r="E17" s="20"/>
      <c r="F17" s="20"/>
      <c r="G17" s="20"/>
      <c r="H17" s="20"/>
      <c r="I17" s="20"/>
    </row>
    <row r="18" spans="3:9">
      <c r="C18" s="20"/>
      <c r="D18" s="20"/>
      <c r="E18" s="20"/>
      <c r="F18" s="20"/>
      <c r="G18" s="20"/>
      <c r="H18" s="20"/>
      <c r="I18" s="20"/>
    </row>
    <row r="19" spans="3:9">
      <c r="C19" s="20"/>
      <c r="D19" s="20"/>
      <c r="E19" s="20"/>
      <c r="F19" s="20"/>
      <c r="G19" s="20"/>
      <c r="H19" s="20"/>
      <c r="I19" s="20"/>
    </row>
    <row r="20" spans="3:9">
      <c r="C20" s="20"/>
      <c r="D20" s="20"/>
      <c r="E20" s="20"/>
      <c r="F20" s="20"/>
      <c r="G20" s="20"/>
      <c r="H20" s="20"/>
      <c r="I20" s="20"/>
    </row>
    <row r="21" spans="3:9">
      <c r="C21" s="20"/>
      <c r="D21" s="20"/>
      <c r="E21" s="20"/>
      <c r="F21" s="20"/>
      <c r="G21" s="20"/>
      <c r="H21" s="20"/>
      <c r="I21" s="20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I123"/>
  <sheetViews>
    <sheetView showGridLines="0" workbookViewId="0">
      <pane xSplit="1" ySplit="3" topLeftCell="AU4" activePane="bottomRight" state="frozen"/>
      <selection pane="topRight" activeCell="B1" sqref="B1"/>
      <selection pane="bottomLeft" activeCell="A4" sqref="A4"/>
      <selection pane="bottomRight" activeCell="A9" sqref="A9"/>
    </sheetView>
  </sheetViews>
  <sheetFormatPr baseColWidth="10" defaultColWidth="11.42578125" defaultRowHeight="15" outlineLevelRow="2" outlineLevelCol="1"/>
  <cols>
    <col min="1" max="1" width="42.85546875" style="38" customWidth="1"/>
    <col min="2" max="7" width="10.140625" style="38" customWidth="1" outlineLevel="1"/>
    <col min="8" max="13" width="10.140625" style="50" customWidth="1" outlineLevel="1"/>
    <col min="14" max="14" width="12" style="50" customWidth="1" outlineLevel="1"/>
    <col min="15" max="15" width="2.140625" style="81" bestFit="1" customWidth="1"/>
    <col min="16" max="17" width="10.140625" style="50" bestFit="1" customWidth="1"/>
    <col min="18" max="18" width="12.7109375" style="50" bestFit="1" customWidth="1"/>
    <col min="19" max="19" width="10.140625" style="50" bestFit="1" customWidth="1"/>
    <col min="20" max="20" width="3.5703125" style="99" customWidth="1"/>
    <col min="21" max="21" width="10.140625" style="38" customWidth="1" outlineLevel="1"/>
    <col min="22" max="32" width="11.42578125" style="38" customWidth="1" outlineLevel="1"/>
    <col min="33" max="33" width="12" style="38" customWidth="1" outlineLevel="1"/>
    <col min="34" max="34" width="3" style="81" customWidth="1"/>
    <col min="35" max="38" width="11.42578125" style="38"/>
    <col min="39" max="39" width="3.42578125" style="81" customWidth="1"/>
    <col min="40" max="52" width="11.42578125" style="38" customWidth="1" outlineLevel="1"/>
    <col min="53" max="53" width="3.28515625" style="81" customWidth="1"/>
    <col min="54" max="16384" width="11.42578125" style="38"/>
  </cols>
  <sheetData>
    <row r="1" spans="1:57">
      <c r="A1" s="38" t="s">
        <v>49</v>
      </c>
      <c r="AI1" s="80"/>
      <c r="AJ1" s="80"/>
      <c r="AK1" s="80"/>
      <c r="AL1" s="80"/>
    </row>
    <row r="2" spans="1:57" ht="15.75">
      <c r="A2" s="170" t="s">
        <v>3</v>
      </c>
      <c r="B2" s="171">
        <v>2022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35"/>
      <c r="P2" s="171">
        <v>2022</v>
      </c>
      <c r="Q2" s="171"/>
      <c r="R2" s="171"/>
      <c r="S2" s="171"/>
      <c r="T2" s="100"/>
      <c r="U2" s="171">
        <v>2023</v>
      </c>
      <c r="V2" s="171"/>
      <c r="W2" s="171"/>
      <c r="X2" s="171"/>
      <c r="Y2" s="171"/>
      <c r="Z2" s="171"/>
      <c r="AA2" s="171"/>
      <c r="AB2" s="171"/>
      <c r="AC2" s="171"/>
      <c r="AD2" s="171"/>
      <c r="AE2" s="171"/>
      <c r="AF2" s="171"/>
      <c r="AI2" s="169">
        <v>2023</v>
      </c>
      <c r="AJ2" s="169"/>
      <c r="AK2" s="169"/>
      <c r="AL2" s="169"/>
      <c r="AM2" s="82"/>
      <c r="AN2" s="171">
        <v>2024</v>
      </c>
      <c r="AO2" s="171"/>
      <c r="AP2" s="171"/>
      <c r="AQ2" s="171"/>
      <c r="AR2" s="171"/>
      <c r="AS2" s="171"/>
      <c r="AT2" s="171"/>
      <c r="AU2" s="171"/>
      <c r="AV2" s="171"/>
      <c r="AW2" s="171"/>
      <c r="AX2" s="171"/>
      <c r="AY2" s="171"/>
      <c r="AZ2" s="35"/>
      <c r="BB2" s="169">
        <v>2024</v>
      </c>
      <c r="BC2" s="169"/>
      <c r="BD2" s="169"/>
      <c r="BE2" s="169"/>
    </row>
    <row r="3" spans="1:57" ht="31.5">
      <c r="A3" s="170"/>
      <c r="B3" s="6" t="s">
        <v>50</v>
      </c>
      <c r="C3" s="6" t="s">
        <v>51</v>
      </c>
      <c r="D3" s="6" t="s">
        <v>52</v>
      </c>
      <c r="E3" s="6" t="s">
        <v>53</v>
      </c>
      <c r="F3" s="6" t="s">
        <v>54</v>
      </c>
      <c r="G3" s="6" t="s">
        <v>55</v>
      </c>
      <c r="H3" s="6" t="s">
        <v>56</v>
      </c>
      <c r="I3" s="6" t="s">
        <v>57</v>
      </c>
      <c r="J3" s="6" t="s">
        <v>58</v>
      </c>
      <c r="K3" s="6" t="s">
        <v>59</v>
      </c>
      <c r="L3" s="6" t="s">
        <v>60</v>
      </c>
      <c r="M3" s="6" t="s">
        <v>61</v>
      </c>
      <c r="N3" s="6" t="s">
        <v>62</v>
      </c>
      <c r="P3" s="6" t="s">
        <v>63</v>
      </c>
      <c r="Q3" s="6" t="s">
        <v>64</v>
      </c>
      <c r="R3" s="6" t="s">
        <v>65</v>
      </c>
      <c r="S3" s="6" t="s">
        <v>66</v>
      </c>
      <c r="T3" s="83"/>
      <c r="U3" s="6" t="s">
        <v>50</v>
      </c>
      <c r="V3" s="6" t="s">
        <v>51</v>
      </c>
      <c r="W3" s="6" t="s">
        <v>52</v>
      </c>
      <c r="X3" s="6" t="s">
        <v>53</v>
      </c>
      <c r="Y3" s="6" t="s">
        <v>54</v>
      </c>
      <c r="Z3" s="6" t="s">
        <v>55</v>
      </c>
      <c r="AA3" s="6" t="s">
        <v>56</v>
      </c>
      <c r="AB3" s="6" t="s">
        <v>57</v>
      </c>
      <c r="AC3" s="6" t="s">
        <v>58</v>
      </c>
      <c r="AD3" s="6" t="s">
        <v>59</v>
      </c>
      <c r="AE3" s="6" t="s">
        <v>60</v>
      </c>
      <c r="AF3" s="6" t="s">
        <v>61</v>
      </c>
      <c r="AG3" s="6" t="s">
        <v>67</v>
      </c>
      <c r="AI3" s="6" t="s">
        <v>63</v>
      </c>
      <c r="AJ3" s="6" t="s">
        <v>64</v>
      </c>
      <c r="AK3" s="6" t="s">
        <v>65</v>
      </c>
      <c r="AL3" s="6" t="s">
        <v>66</v>
      </c>
      <c r="AM3" s="83"/>
      <c r="AN3" s="6" t="s">
        <v>50</v>
      </c>
      <c r="AO3" s="6" t="s">
        <v>51</v>
      </c>
      <c r="AP3" s="6" t="s">
        <v>52</v>
      </c>
      <c r="AQ3" s="6" t="s">
        <v>53</v>
      </c>
      <c r="AR3" s="6" t="s">
        <v>54</v>
      </c>
      <c r="AS3" s="6" t="s">
        <v>55</v>
      </c>
      <c r="AT3" s="6" t="s">
        <v>56</v>
      </c>
      <c r="AU3" s="6" t="s">
        <v>57</v>
      </c>
      <c r="AV3" s="6" t="s">
        <v>58</v>
      </c>
      <c r="AW3" s="6" t="s">
        <v>59</v>
      </c>
      <c r="AX3" s="6" t="s">
        <v>60</v>
      </c>
      <c r="AY3" s="6" t="s">
        <v>61</v>
      </c>
      <c r="AZ3" s="6" t="s">
        <v>68</v>
      </c>
      <c r="BB3" s="6" t="s">
        <v>63</v>
      </c>
      <c r="BC3" s="6" t="s">
        <v>64</v>
      </c>
      <c r="BD3" s="6" t="s">
        <v>65</v>
      </c>
      <c r="BE3" s="6" t="s">
        <v>66</v>
      </c>
    </row>
    <row r="4" spans="1:5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P4" s="4"/>
      <c r="Q4" s="4"/>
      <c r="R4" s="4"/>
      <c r="S4" s="4"/>
      <c r="T4" s="101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B4" s="4"/>
      <c r="BC4" s="4"/>
      <c r="BD4" s="4"/>
      <c r="BE4" s="4"/>
    </row>
    <row r="5" spans="1:57" ht="15.75">
      <c r="A5" s="36" t="s">
        <v>69</v>
      </c>
      <c r="B5" s="60">
        <v>108074.49171613001</v>
      </c>
      <c r="C5" s="60">
        <v>136350.50023632991</v>
      </c>
      <c r="D5" s="60">
        <v>112509.70474459458</v>
      </c>
      <c r="E5" s="60">
        <v>115078.01512464005</v>
      </c>
      <c r="F5" s="60">
        <f>+F6+F7+F8+F9+F10+F11+F13+F14</f>
        <v>118579.52196672001</v>
      </c>
      <c r="G5" s="60">
        <v>116617.1354578156</v>
      </c>
      <c r="H5" s="60">
        <v>123783.68497333002</v>
      </c>
      <c r="I5" s="60">
        <v>135108.92661900003</v>
      </c>
      <c r="J5" s="60">
        <v>112567.10342356669</v>
      </c>
      <c r="K5" s="60">
        <v>177190.40157006</v>
      </c>
      <c r="L5" s="60">
        <v>126091.44407104996</v>
      </c>
      <c r="M5" s="60">
        <v>134681.53685363804</v>
      </c>
      <c r="N5" s="60">
        <f>SUM(B5:M5)</f>
        <v>1516632.4667568749</v>
      </c>
      <c r="P5" s="60">
        <f>+P6+P7+P8+P9+P10+P11+P13+P14</f>
        <v>356934.69669705455</v>
      </c>
      <c r="Q5" s="60">
        <f>+Q6+Q7+Q8+Q9+Q10+Q11+Q13+Q14</f>
        <v>350274.67254917568</v>
      </c>
      <c r="R5" s="60">
        <f>+R6+R7+R8+R9+R10+R11+R13+R14</f>
        <v>371459.71501589671</v>
      </c>
      <c r="S5" s="60">
        <f>+S6+S7+S8+S9+S10+S11+S13+S14</f>
        <v>437963.3824947481</v>
      </c>
      <c r="T5" s="84"/>
      <c r="U5" s="60">
        <v>110356.45857554</v>
      </c>
      <c r="V5" s="60">
        <v>117737.37754373002</v>
      </c>
      <c r="W5" s="60">
        <v>125543.44071095006</v>
      </c>
      <c r="X5" s="60">
        <v>121121.44836292003</v>
      </c>
      <c r="Y5" s="60">
        <v>123056.58072395003</v>
      </c>
      <c r="Z5" s="60">
        <v>130990.68919690009</v>
      </c>
      <c r="AA5" s="60">
        <v>123760.10131220987</v>
      </c>
      <c r="AB5" s="60">
        <v>130335.26356479</v>
      </c>
      <c r="AC5" s="60">
        <v>126117.94343532002</v>
      </c>
      <c r="AD5" s="60">
        <v>129123.3106372</v>
      </c>
      <c r="AE5" s="60">
        <v>158661.75031185008</v>
      </c>
      <c r="AF5" s="60">
        <v>155928.63776531006</v>
      </c>
      <c r="AG5" s="60">
        <f>SUM(AG6:AG14)</f>
        <v>1552733.0021406703</v>
      </c>
      <c r="AI5" s="60">
        <f t="shared" ref="AI5:AK5" si="0">SUM(AI6:AI14)</f>
        <v>353637.27683022007</v>
      </c>
      <c r="AJ5" s="60">
        <f t="shared" si="0"/>
        <v>375168.71828377014</v>
      </c>
      <c r="AK5" s="60">
        <f t="shared" si="0"/>
        <v>380213.30831231986</v>
      </c>
      <c r="AL5" s="60">
        <f>SUM(AL6:AL14)</f>
        <v>443713.69871436007</v>
      </c>
      <c r="AM5" s="84"/>
      <c r="AN5" s="60">
        <v>124149.03610475986</v>
      </c>
      <c r="AO5" s="60">
        <v>132333.28704197996</v>
      </c>
      <c r="AP5" s="60">
        <v>127805.73584550987</v>
      </c>
      <c r="AQ5" s="60">
        <v>127769.92610418008</v>
      </c>
      <c r="AR5" s="60">
        <v>145741.60754745023</v>
      </c>
      <c r="AS5" s="60">
        <v>136877.24745832011</v>
      </c>
      <c r="AT5" s="60"/>
      <c r="AU5" s="60"/>
      <c r="AV5" s="60"/>
      <c r="AW5" s="60"/>
      <c r="AX5" s="60"/>
      <c r="AY5" s="60"/>
      <c r="AZ5" s="60">
        <f>SUM(AZ6:AZ14)</f>
        <v>794676.84010220016</v>
      </c>
      <c r="BB5" s="60">
        <f t="shared" ref="BB5:BD5" si="1">SUM(BB6:BB14)</f>
        <v>384288.05899224966</v>
      </c>
      <c r="BC5" s="60">
        <f t="shared" si="1"/>
        <v>410388.78110995045</v>
      </c>
      <c r="BD5" s="60">
        <f t="shared" si="1"/>
        <v>0</v>
      </c>
      <c r="BE5" s="60">
        <f>SUM(BE6:BE14)</f>
        <v>0</v>
      </c>
    </row>
    <row r="6" spans="1:57" outlineLevel="2">
      <c r="A6" s="37" t="s">
        <v>70</v>
      </c>
      <c r="B6" s="61">
        <v>44368.383990916649</v>
      </c>
      <c r="C6" s="61">
        <v>43418.712132329958</v>
      </c>
      <c r="D6" s="61">
        <v>43568.289459004598</v>
      </c>
      <c r="E6" s="61">
        <v>45671.859982920054</v>
      </c>
      <c r="F6" s="61">
        <v>44432.358380080004</v>
      </c>
      <c r="G6" s="61">
        <v>43080.453073985627</v>
      </c>
      <c r="H6" s="61">
        <v>42357.924638999997</v>
      </c>
      <c r="I6" s="61">
        <v>41814.460230650038</v>
      </c>
      <c r="J6" s="61">
        <v>41480.042829656668</v>
      </c>
      <c r="K6" s="61">
        <v>40515.681374480017</v>
      </c>
      <c r="L6" s="61">
        <v>40460.132464829956</v>
      </c>
      <c r="M6" s="61">
        <v>40381.075624798068</v>
      </c>
      <c r="N6" s="61">
        <f t="shared" ref="N6:N69" si="2">SUM(B6:M6)</f>
        <v>511549.37418265163</v>
      </c>
      <c r="P6" s="61">
        <f t="shared" ref="P6:P37" si="3">SUM(B6:D6)</f>
        <v>131355.38558225121</v>
      </c>
      <c r="Q6" s="61">
        <f t="shared" ref="Q6:Q70" si="4">+E6+F6+G6</f>
        <v>133184.67143698566</v>
      </c>
      <c r="R6" s="61">
        <f t="shared" ref="R6:R70" si="5">+H6+I6+J6</f>
        <v>125652.4276993067</v>
      </c>
      <c r="S6" s="61">
        <f t="shared" ref="S6:S70" si="6">+K6+L6+M6</f>
        <v>121356.88946410804</v>
      </c>
      <c r="T6" s="85"/>
      <c r="U6" s="61">
        <v>42353.02678343001</v>
      </c>
      <c r="V6" s="61">
        <v>41486.405122630029</v>
      </c>
      <c r="W6" s="61">
        <v>40928.462040810053</v>
      </c>
      <c r="X6" s="61">
        <v>40506.043625309729</v>
      </c>
      <c r="Y6" s="61">
        <v>40127.797652259993</v>
      </c>
      <c r="Z6" s="61">
        <v>39675.807404220002</v>
      </c>
      <c r="AA6" s="61">
        <v>39507.497323649877</v>
      </c>
      <c r="AB6" s="61">
        <v>39870.261733620013</v>
      </c>
      <c r="AC6" s="61">
        <v>39410.727437790003</v>
      </c>
      <c r="AD6" s="61">
        <v>39157.021917589998</v>
      </c>
      <c r="AE6" s="61">
        <v>38341.397956420107</v>
      </c>
      <c r="AF6" s="61">
        <v>38711.877811990045</v>
      </c>
      <c r="AG6" s="61">
        <f t="shared" ref="AG6:AG69" si="7">SUM(U6:AF6)</f>
        <v>480076.32680971985</v>
      </c>
      <c r="AI6" s="61">
        <f t="shared" ref="AI6:AI11" si="8">SUM(U6:W6)</f>
        <v>124767.89394687008</v>
      </c>
      <c r="AJ6" s="61">
        <f t="shared" ref="AJ6:AJ11" si="9">+X6+Y6+Z6</f>
        <v>120309.64868178972</v>
      </c>
      <c r="AK6" s="61">
        <f t="shared" ref="AK6:AK11" si="10">+AA6+AB6+AC6</f>
        <v>118788.4864950599</v>
      </c>
      <c r="AL6" s="61">
        <f t="shared" ref="AL6:AL26" si="11">+AD6+AE6+AF6</f>
        <v>116210.29768600015</v>
      </c>
      <c r="AM6" s="85"/>
      <c r="AN6" s="61">
        <v>39821.001087349861</v>
      </c>
      <c r="AO6" s="61">
        <v>39058.426815669969</v>
      </c>
      <c r="AP6" s="61">
        <v>38545.708677259863</v>
      </c>
      <c r="AQ6" s="61">
        <v>38453.15796769008</v>
      </c>
      <c r="AR6" s="61">
        <v>38304.159255920211</v>
      </c>
      <c r="AS6" s="61">
        <v>37992.274996879998</v>
      </c>
      <c r="AT6" s="61"/>
      <c r="AU6" s="61"/>
      <c r="AV6" s="61"/>
      <c r="AW6" s="61"/>
      <c r="AX6" s="61"/>
      <c r="AY6" s="61"/>
      <c r="AZ6" s="61">
        <f t="shared" ref="AZ6:AZ69" si="12">SUM(AN6:AY6)</f>
        <v>232174.72880076998</v>
      </c>
      <c r="BB6" s="61">
        <f t="shared" ref="BB6:BB11" si="13">SUM(AN6:AP6)</f>
        <v>117425.13658027968</v>
      </c>
      <c r="BC6" s="61">
        <f t="shared" ref="BC6:BC69" si="14">+AQ6+AR6+AS6</f>
        <v>114749.5922204903</v>
      </c>
      <c r="BD6" s="61">
        <f t="shared" ref="BD6:BD69" si="15">+AT6+AU6+AV6</f>
        <v>0</v>
      </c>
      <c r="BE6" s="61">
        <f t="shared" ref="BE6:BE69" si="16">+AW6+AX6+AY6</f>
        <v>0</v>
      </c>
    </row>
    <row r="7" spans="1:57" outlineLevel="2">
      <c r="A7" s="37" t="s">
        <v>71</v>
      </c>
      <c r="B7" s="61">
        <v>13848.664583619999</v>
      </c>
      <c r="C7" s="61">
        <v>14162.330870529993</v>
      </c>
      <c r="D7" s="61">
        <v>14362.33613695</v>
      </c>
      <c r="E7" s="61">
        <v>15294.077265169999</v>
      </c>
      <c r="F7" s="61">
        <v>14864.346057139996</v>
      </c>
      <c r="G7" s="61">
        <v>14841.369054739995</v>
      </c>
      <c r="H7" s="61">
        <v>14832.208101</v>
      </c>
      <c r="I7" s="61">
        <v>14905.243551520001</v>
      </c>
      <c r="J7" s="61">
        <v>14770.955625350003</v>
      </c>
      <c r="K7" s="61">
        <v>14646.725169610001</v>
      </c>
      <c r="L7" s="61">
        <v>14704.281913210001</v>
      </c>
      <c r="M7" s="61">
        <v>14967.686298609988</v>
      </c>
      <c r="N7" s="61">
        <f t="shared" si="2"/>
        <v>176200.22462744993</v>
      </c>
      <c r="P7" s="61">
        <f t="shared" si="3"/>
        <v>42373.331591099988</v>
      </c>
      <c r="Q7" s="61">
        <f t="shared" si="4"/>
        <v>44999.792377049991</v>
      </c>
      <c r="R7" s="61">
        <f t="shared" si="5"/>
        <v>44508.407277870007</v>
      </c>
      <c r="S7" s="61">
        <f t="shared" si="6"/>
        <v>44318.693381429992</v>
      </c>
      <c r="T7" s="85"/>
      <c r="U7" s="61">
        <v>15848.991573110008</v>
      </c>
      <c r="V7" s="61">
        <v>15804.904174929994</v>
      </c>
      <c r="W7" s="61">
        <v>15639.875473520011</v>
      </c>
      <c r="X7" s="61">
        <v>15479.553940149994</v>
      </c>
      <c r="Y7" s="61">
        <v>15480.579838469994</v>
      </c>
      <c r="Z7" s="61">
        <v>15356.481125700009</v>
      </c>
      <c r="AA7" s="61">
        <v>15282.057114250001</v>
      </c>
      <c r="AB7" s="61">
        <v>15293.52351151</v>
      </c>
      <c r="AC7" s="61">
        <v>15192.42588852</v>
      </c>
      <c r="AD7" s="61">
        <v>15055.07179106</v>
      </c>
      <c r="AE7" s="61">
        <v>15064.581699980001</v>
      </c>
      <c r="AF7" s="61">
        <v>15655.368740500004</v>
      </c>
      <c r="AG7" s="61">
        <f t="shared" si="7"/>
        <v>185153.41487169999</v>
      </c>
      <c r="AI7" s="61">
        <f t="shared" si="8"/>
        <v>47293.771221560011</v>
      </c>
      <c r="AJ7" s="61">
        <f t="shared" si="9"/>
        <v>46316.614904319998</v>
      </c>
      <c r="AK7" s="61">
        <f t="shared" si="10"/>
        <v>45768.006514280001</v>
      </c>
      <c r="AL7" s="61">
        <f t="shared" si="11"/>
        <v>45775.022231540002</v>
      </c>
      <c r="AM7" s="85"/>
      <c r="AN7" s="61">
        <v>16911.517017619994</v>
      </c>
      <c r="AO7" s="61">
        <v>16603.333665149996</v>
      </c>
      <c r="AP7" s="61">
        <v>16361.029607110002</v>
      </c>
      <c r="AQ7" s="61">
        <v>16141.87867880999</v>
      </c>
      <c r="AR7" s="61">
        <v>15874.071776100012</v>
      </c>
      <c r="AS7" s="61">
        <v>15737.39229892014</v>
      </c>
      <c r="AT7" s="61"/>
      <c r="AU7" s="61"/>
      <c r="AV7" s="61"/>
      <c r="AW7" s="61"/>
      <c r="AX7" s="61"/>
      <c r="AY7" s="61"/>
      <c r="AZ7" s="61">
        <f t="shared" si="12"/>
        <v>97629.223043710124</v>
      </c>
      <c r="BB7" s="61">
        <f t="shared" si="13"/>
        <v>49875.880289879991</v>
      </c>
      <c r="BC7" s="61">
        <f t="shared" si="14"/>
        <v>47753.34275383014</v>
      </c>
      <c r="BD7" s="61">
        <f t="shared" si="15"/>
        <v>0</v>
      </c>
      <c r="BE7" s="61">
        <f t="shared" si="16"/>
        <v>0</v>
      </c>
    </row>
    <row r="8" spans="1:57" outlineLevel="2">
      <c r="A8" s="37" t="s">
        <v>72</v>
      </c>
      <c r="B8" s="62">
        <v>4582.8248439233657</v>
      </c>
      <c r="C8" s="62">
        <v>4357.2220293999999</v>
      </c>
      <c r="D8" s="62">
        <v>4441.9636528099991</v>
      </c>
      <c r="E8" s="62">
        <v>3931.1490959600005</v>
      </c>
      <c r="F8" s="62">
        <v>4285.7774356000009</v>
      </c>
      <c r="G8" s="62">
        <v>4327.2127152100011</v>
      </c>
      <c r="H8" s="62">
        <v>4359.8831529999998</v>
      </c>
      <c r="I8" s="62">
        <v>4486.706867580001</v>
      </c>
      <c r="J8" s="62">
        <v>4368.3720699599999</v>
      </c>
      <c r="K8" s="62">
        <v>4370.8581659899992</v>
      </c>
      <c r="L8" s="62">
        <v>4332.3806873399999</v>
      </c>
      <c r="M8" s="62">
        <v>4618.2576439700006</v>
      </c>
      <c r="N8" s="62">
        <f t="shared" si="2"/>
        <v>52462.608360743368</v>
      </c>
      <c r="P8" s="62">
        <f t="shared" si="3"/>
        <v>13382.010526133363</v>
      </c>
      <c r="Q8" s="62">
        <f t="shared" si="4"/>
        <v>12544.139246770003</v>
      </c>
      <c r="R8" s="62">
        <f t="shared" si="5"/>
        <v>13214.962090540001</v>
      </c>
      <c r="S8" s="62">
        <f t="shared" si="6"/>
        <v>13321.496497300001</v>
      </c>
      <c r="T8" s="86"/>
      <c r="U8" s="62">
        <v>4385.4736047799988</v>
      </c>
      <c r="V8" s="62">
        <v>4389.6003769600011</v>
      </c>
      <c r="W8" s="62">
        <v>4644.8283291200005</v>
      </c>
      <c r="X8" s="62">
        <v>4825.7495907803059</v>
      </c>
      <c r="Y8" s="62">
        <v>5209.289754520034</v>
      </c>
      <c r="Z8" s="62">
        <v>4985.2946773800786</v>
      </c>
      <c r="AA8" s="62">
        <v>5061.3349041699994</v>
      </c>
      <c r="AB8" s="62">
        <v>5372.5081264500004</v>
      </c>
      <c r="AC8" s="62">
        <v>5324.2081590999996</v>
      </c>
      <c r="AD8" s="62">
        <v>5186.8554893700002</v>
      </c>
      <c r="AE8" s="62">
        <v>5508.8012748500005</v>
      </c>
      <c r="AF8" s="62">
        <v>4787.2082092199998</v>
      </c>
      <c r="AG8" s="62">
        <f t="shared" si="7"/>
        <v>59681.152496700408</v>
      </c>
      <c r="AI8" s="62">
        <f t="shared" si="8"/>
        <v>13419.902310859999</v>
      </c>
      <c r="AJ8" s="62">
        <f t="shared" si="9"/>
        <v>15020.334022680418</v>
      </c>
      <c r="AK8" s="62">
        <f t="shared" si="10"/>
        <v>15758.051189719998</v>
      </c>
      <c r="AL8" s="62">
        <f t="shared" si="11"/>
        <v>15482.864973440001</v>
      </c>
      <c r="AM8" s="86"/>
      <c r="AN8" s="62">
        <v>4797.7382714899995</v>
      </c>
      <c r="AO8" s="62">
        <v>5151.8662182300004</v>
      </c>
      <c r="AP8" s="61">
        <v>5334.9633252499998</v>
      </c>
      <c r="AQ8" s="62">
        <v>5395.9218806899989</v>
      </c>
      <c r="AR8" s="62">
        <v>5413.9938262400001</v>
      </c>
      <c r="AS8" s="62">
        <v>5133.0104620099992</v>
      </c>
      <c r="AT8" s="62"/>
      <c r="AU8" s="62"/>
      <c r="AV8" s="62"/>
      <c r="AW8" s="62"/>
      <c r="AX8" s="62"/>
      <c r="AY8" s="62"/>
      <c r="AZ8" s="62">
        <f t="shared" si="12"/>
        <v>31227.493983909997</v>
      </c>
      <c r="BB8" s="62">
        <f t="shared" si="13"/>
        <v>15284.56781497</v>
      </c>
      <c r="BC8" s="61">
        <f t="shared" si="14"/>
        <v>15942.926168939997</v>
      </c>
      <c r="BD8" s="62">
        <f t="shared" si="15"/>
        <v>0</v>
      </c>
      <c r="BE8" s="62">
        <f t="shared" si="16"/>
        <v>0</v>
      </c>
    </row>
    <row r="9" spans="1:57" outlineLevel="2">
      <c r="A9" s="37" t="s">
        <v>73</v>
      </c>
      <c r="B9" s="61">
        <v>16973.604770849997</v>
      </c>
      <c r="C9" s="61">
        <v>17661.101942929999</v>
      </c>
      <c r="D9" s="61">
        <v>17112.728497149994</v>
      </c>
      <c r="E9" s="61">
        <v>16876.291736579999</v>
      </c>
      <c r="F9" s="61">
        <v>17531.652928900003</v>
      </c>
      <c r="G9" s="61">
        <v>17116.904188500001</v>
      </c>
      <c r="H9" s="61">
        <v>16824.151018</v>
      </c>
      <c r="I9" s="61">
        <v>16813.620488950004</v>
      </c>
      <c r="J9" s="61">
        <v>16853.199062600004</v>
      </c>
      <c r="K9" s="61">
        <v>17138.516734150002</v>
      </c>
      <c r="L9" s="61">
        <v>16826.664208669998</v>
      </c>
      <c r="M9" s="61">
        <v>17057.919117990001</v>
      </c>
      <c r="N9" s="61">
        <f t="shared" si="2"/>
        <v>204786.35469527001</v>
      </c>
      <c r="P9" s="61">
        <f t="shared" si="3"/>
        <v>51747.435210929994</v>
      </c>
      <c r="Q9" s="61">
        <f t="shared" si="4"/>
        <v>51524.848853980002</v>
      </c>
      <c r="R9" s="61">
        <f t="shared" si="5"/>
        <v>50490.970569550009</v>
      </c>
      <c r="S9" s="61">
        <f t="shared" si="6"/>
        <v>51023.10006081</v>
      </c>
      <c r="T9" s="85"/>
      <c r="U9" s="61">
        <v>16804.618416830002</v>
      </c>
      <c r="V9" s="61">
        <v>16949.34352758</v>
      </c>
      <c r="W9" s="61">
        <v>17224.802889750001</v>
      </c>
      <c r="X9" s="61">
        <v>17427.346600390003</v>
      </c>
      <c r="Y9" s="61">
        <v>17189.359656369994</v>
      </c>
      <c r="Z9" s="61">
        <v>18055.784962980011</v>
      </c>
      <c r="AA9" s="61">
        <v>17867.497686659997</v>
      </c>
      <c r="AB9" s="61">
        <v>17425.251748829996</v>
      </c>
      <c r="AC9" s="61">
        <v>17230.691285370001</v>
      </c>
      <c r="AD9" s="61">
        <v>18181.996988750001</v>
      </c>
      <c r="AE9" s="61">
        <v>16868.579100409992</v>
      </c>
      <c r="AF9" s="61">
        <v>17963.635300389997</v>
      </c>
      <c r="AG9" s="61">
        <f t="shared" si="7"/>
        <v>209188.90816430998</v>
      </c>
      <c r="AI9" s="61">
        <f t="shared" si="8"/>
        <v>50978.76483416</v>
      </c>
      <c r="AJ9" s="61">
        <f t="shared" si="9"/>
        <v>52672.491219740004</v>
      </c>
      <c r="AK9" s="61">
        <f t="shared" si="10"/>
        <v>52523.440720860002</v>
      </c>
      <c r="AL9" s="61">
        <f t="shared" si="11"/>
        <v>53014.211389549993</v>
      </c>
      <c r="AM9" s="85"/>
      <c r="AN9" s="61">
        <v>20350.808833619994</v>
      </c>
      <c r="AO9" s="61">
        <v>17265.568438690003</v>
      </c>
      <c r="AP9" s="61">
        <v>18001.929156980004</v>
      </c>
      <c r="AQ9" s="61">
        <v>17393.26807437</v>
      </c>
      <c r="AR9" s="61">
        <v>18166.704184149999</v>
      </c>
      <c r="AS9" s="61">
        <v>17792.419544659992</v>
      </c>
      <c r="AT9" s="61"/>
      <c r="AU9" s="61"/>
      <c r="AV9" s="61"/>
      <c r="AW9" s="61"/>
      <c r="AX9" s="61"/>
      <c r="AY9" s="61"/>
      <c r="AZ9" s="61">
        <f t="shared" si="12"/>
        <v>108970.69823246999</v>
      </c>
      <c r="BB9" s="61">
        <f t="shared" si="13"/>
        <v>55618.306429290002</v>
      </c>
      <c r="BC9" s="61">
        <f t="shared" si="14"/>
        <v>53352.391803179991</v>
      </c>
      <c r="BD9" s="61">
        <f t="shared" si="15"/>
        <v>0</v>
      </c>
      <c r="BE9" s="61">
        <f t="shared" si="16"/>
        <v>0</v>
      </c>
    </row>
    <row r="10" spans="1:57" outlineLevel="2">
      <c r="A10" s="37" t="s">
        <v>74</v>
      </c>
      <c r="B10" s="62">
        <v>19625.891338920002</v>
      </c>
      <c r="C10" s="62">
        <v>20539.20905908</v>
      </c>
      <c r="D10" s="62">
        <v>23598.622663009988</v>
      </c>
      <c r="E10" s="62">
        <v>22544.095992910006</v>
      </c>
      <c r="F10" s="62">
        <v>22523.729381000001</v>
      </c>
      <c r="G10" s="62">
        <v>27647.983716149996</v>
      </c>
      <c r="H10" s="62">
        <v>24780.371068</v>
      </c>
      <c r="I10" s="62">
        <v>27888.309363769997</v>
      </c>
      <c r="J10" s="62">
        <v>25915.729700600001</v>
      </c>
      <c r="K10" s="62">
        <v>32370.797854049997</v>
      </c>
      <c r="L10" s="62">
        <v>36094.40831028</v>
      </c>
      <c r="M10" s="62">
        <v>35575.803028670001</v>
      </c>
      <c r="N10" s="62">
        <f t="shared" si="2"/>
        <v>319104.95147644001</v>
      </c>
      <c r="P10" s="62">
        <f t="shared" si="3"/>
        <v>63763.723061009994</v>
      </c>
      <c r="Q10" s="62">
        <f t="shared" si="4"/>
        <v>72715.809090060007</v>
      </c>
      <c r="R10" s="62">
        <f t="shared" si="5"/>
        <v>78584.410132370002</v>
      </c>
      <c r="S10" s="62">
        <f t="shared" si="6"/>
        <v>104041.00919300001</v>
      </c>
      <c r="T10" s="86"/>
      <c r="U10" s="62">
        <v>22389.68874338</v>
      </c>
      <c r="V10" s="62">
        <v>29191.396062219992</v>
      </c>
      <c r="W10" s="62">
        <v>36071.442955439998</v>
      </c>
      <c r="X10" s="62">
        <v>32288.521935119999</v>
      </c>
      <c r="Y10" s="62">
        <v>34777.867220530003</v>
      </c>
      <c r="Z10" s="62">
        <v>44154.793897279989</v>
      </c>
      <c r="AA10" s="62">
        <v>36643.319871830005</v>
      </c>
      <c r="AB10" s="62">
        <v>37797.102156459987</v>
      </c>
      <c r="AC10" s="62">
        <v>38480.362242759998</v>
      </c>
      <c r="AD10" s="62">
        <v>41016.911545549992</v>
      </c>
      <c r="AE10" s="62">
        <v>61518.266438839993</v>
      </c>
      <c r="AF10" s="62">
        <v>44288.920408800004</v>
      </c>
      <c r="AG10" s="62">
        <f t="shared" si="7"/>
        <v>458618.59347820998</v>
      </c>
      <c r="AI10" s="62">
        <f t="shared" si="8"/>
        <v>87652.527761039993</v>
      </c>
      <c r="AJ10" s="62">
        <f t="shared" si="9"/>
        <v>111221.18305292999</v>
      </c>
      <c r="AK10" s="62">
        <f t="shared" si="10"/>
        <v>112920.78427104998</v>
      </c>
      <c r="AL10" s="62">
        <f t="shared" si="11"/>
        <v>146824.09839318998</v>
      </c>
      <c r="AM10" s="86"/>
      <c r="AN10" s="62">
        <v>29358.209588279995</v>
      </c>
      <c r="AO10" s="62">
        <v>31728.880248400004</v>
      </c>
      <c r="AP10" s="61">
        <v>29385.565511659992</v>
      </c>
      <c r="AQ10" s="62">
        <v>32800.989611599995</v>
      </c>
      <c r="AR10" s="62">
        <v>34583.051108679989</v>
      </c>
      <c r="AS10" s="62">
        <v>28052.859851019999</v>
      </c>
      <c r="AT10" s="62"/>
      <c r="AU10" s="62"/>
      <c r="AV10" s="62"/>
      <c r="AW10" s="62"/>
      <c r="AX10" s="62"/>
      <c r="AY10" s="62"/>
      <c r="AZ10" s="62">
        <f t="shared" si="12"/>
        <v>185909.55591964</v>
      </c>
      <c r="BB10" s="62">
        <f t="shared" si="13"/>
        <v>90472.655348339991</v>
      </c>
      <c r="BC10" s="61">
        <f t="shared" si="14"/>
        <v>95436.900571299979</v>
      </c>
      <c r="BD10" s="62">
        <f t="shared" si="15"/>
        <v>0</v>
      </c>
      <c r="BE10" s="62">
        <f t="shared" si="16"/>
        <v>0</v>
      </c>
    </row>
    <row r="11" spans="1:57" s="63" customFormat="1" outlineLevel="2">
      <c r="A11" s="37" t="s">
        <v>75</v>
      </c>
      <c r="B11" s="62">
        <v>5991.02215256</v>
      </c>
      <c r="C11" s="62">
        <v>7890.3289012299992</v>
      </c>
      <c r="D11" s="62">
        <v>7401.5916848699981</v>
      </c>
      <c r="E11" s="62">
        <v>7450.4819741899992</v>
      </c>
      <c r="F11" s="62">
        <v>7465.5611093500002</v>
      </c>
      <c r="G11" s="62">
        <v>6951.8419022599992</v>
      </c>
      <c r="H11" s="62">
        <v>7435.4436290000003</v>
      </c>
      <c r="I11" s="62">
        <v>7587.1367683100016</v>
      </c>
      <c r="J11" s="62">
        <v>7722.0936004800005</v>
      </c>
      <c r="K11" s="62">
        <v>7764.55558483</v>
      </c>
      <c r="L11" s="62">
        <v>7969.5090747900003</v>
      </c>
      <c r="M11" s="62">
        <v>7911.8007949399989</v>
      </c>
      <c r="N11" s="62">
        <f t="shared" si="2"/>
        <v>89541.367176810003</v>
      </c>
      <c r="O11" s="103"/>
      <c r="P11" s="62">
        <f t="shared" si="3"/>
        <v>21282.94273866</v>
      </c>
      <c r="Q11" s="62">
        <f t="shared" si="4"/>
        <v>21867.884985799999</v>
      </c>
      <c r="R11" s="62">
        <f t="shared" si="5"/>
        <v>22744.67399779</v>
      </c>
      <c r="S11" s="62">
        <f t="shared" si="6"/>
        <v>23645.86545456</v>
      </c>
      <c r="T11" s="86"/>
      <c r="U11" s="62">
        <v>6996.4440343799997</v>
      </c>
      <c r="V11" s="62">
        <v>7855.0673972099994</v>
      </c>
      <c r="W11" s="62">
        <v>8344.8696104600003</v>
      </c>
      <c r="X11" s="62">
        <v>8312.4873897199977</v>
      </c>
      <c r="Y11" s="62">
        <v>7641.0592411799998</v>
      </c>
      <c r="Z11" s="62">
        <v>7637.46341699</v>
      </c>
      <c r="AA11" s="62">
        <v>7638.5156143699978</v>
      </c>
      <c r="AB11" s="62">
        <v>7439.1009860300001</v>
      </c>
      <c r="AC11" s="62">
        <v>7379.0493484600001</v>
      </c>
      <c r="AD11" s="62">
        <v>7530.1759253</v>
      </c>
      <c r="AE11" s="62">
        <v>7258.5539065499997</v>
      </c>
      <c r="AF11" s="62">
        <v>7685.1101559599992</v>
      </c>
      <c r="AG11" s="62">
        <f t="shared" si="7"/>
        <v>91717.897026610008</v>
      </c>
      <c r="AH11" s="103"/>
      <c r="AI11" s="62">
        <f t="shared" si="8"/>
        <v>23196.381042050001</v>
      </c>
      <c r="AJ11" s="62">
        <f t="shared" si="9"/>
        <v>23591.010047889999</v>
      </c>
      <c r="AK11" s="62">
        <f t="shared" si="10"/>
        <v>22456.665948859998</v>
      </c>
      <c r="AL11" s="62">
        <f t="shared" si="11"/>
        <v>22473.839987809999</v>
      </c>
      <c r="AM11" s="86"/>
      <c r="AN11" s="62">
        <v>6810.3106127799992</v>
      </c>
      <c r="AO11" s="62">
        <v>6847.40517215</v>
      </c>
      <c r="AP11" s="61">
        <v>8363.9927472500003</v>
      </c>
      <c r="AQ11" s="62">
        <v>6638.1593695299998</v>
      </c>
      <c r="AR11" s="62">
        <v>6926.5827382400003</v>
      </c>
      <c r="AS11" s="62">
        <v>6912.1721970499993</v>
      </c>
      <c r="AT11" s="62"/>
      <c r="AU11" s="62"/>
      <c r="AV11" s="62"/>
      <c r="AW11" s="62"/>
      <c r="AX11" s="62"/>
      <c r="AY11" s="62"/>
      <c r="AZ11" s="62">
        <f t="shared" si="12"/>
        <v>42498.622836999995</v>
      </c>
      <c r="BA11" s="103"/>
      <c r="BB11" s="62">
        <f t="shared" si="13"/>
        <v>22021.708532179997</v>
      </c>
      <c r="BC11" s="61">
        <f t="shared" si="14"/>
        <v>20476.914304819999</v>
      </c>
      <c r="BD11" s="62">
        <f t="shared" si="15"/>
        <v>0</v>
      </c>
      <c r="BE11" s="62">
        <f t="shared" si="16"/>
        <v>0</v>
      </c>
    </row>
    <row r="12" spans="1:57" s="63" customFormat="1" outlineLevel="2">
      <c r="A12" s="37" t="s">
        <v>76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103"/>
      <c r="P12" s="62"/>
      <c r="Q12" s="62"/>
      <c r="R12" s="62"/>
      <c r="S12" s="62"/>
      <c r="T12" s="86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103"/>
      <c r="AI12" s="62"/>
      <c r="AJ12" s="62"/>
      <c r="AK12" s="62"/>
      <c r="AL12" s="62"/>
      <c r="AM12" s="86"/>
      <c r="AN12" s="62"/>
      <c r="AO12" s="62"/>
      <c r="AP12" s="61"/>
      <c r="AQ12" s="62"/>
      <c r="AR12" s="62"/>
      <c r="AS12" s="62">
        <v>13.757145879999999</v>
      </c>
      <c r="AT12" s="62"/>
      <c r="AU12" s="62"/>
      <c r="AV12" s="62"/>
      <c r="AW12" s="62"/>
      <c r="AX12" s="62"/>
      <c r="AY12" s="62"/>
      <c r="AZ12" s="62">
        <f t="shared" si="12"/>
        <v>13.757145879999999</v>
      </c>
      <c r="BA12" s="103"/>
      <c r="BB12" s="62"/>
      <c r="BC12" s="61">
        <f t="shared" si="14"/>
        <v>13.757145879999999</v>
      </c>
      <c r="BD12" s="62">
        <f t="shared" si="15"/>
        <v>0</v>
      </c>
      <c r="BE12" s="62">
        <f t="shared" si="16"/>
        <v>0</v>
      </c>
    </row>
    <row r="13" spans="1:57" outlineLevel="2">
      <c r="A13" s="37" t="s">
        <v>77</v>
      </c>
      <c r="B13" s="62">
        <v>0</v>
      </c>
      <c r="C13" s="62"/>
      <c r="D13" s="62"/>
      <c r="E13" s="62"/>
      <c r="F13" s="62"/>
      <c r="G13" s="62">
        <v>0</v>
      </c>
      <c r="H13" s="62">
        <v>0</v>
      </c>
      <c r="I13" s="62">
        <v>0</v>
      </c>
      <c r="J13" s="62">
        <v>0</v>
      </c>
      <c r="K13" s="62">
        <v>0</v>
      </c>
      <c r="L13" s="62">
        <v>0</v>
      </c>
      <c r="M13" s="62">
        <v>0</v>
      </c>
      <c r="N13" s="62">
        <f t="shared" si="2"/>
        <v>0</v>
      </c>
      <c r="P13" s="62">
        <f t="shared" si="3"/>
        <v>0</v>
      </c>
      <c r="Q13" s="62">
        <f t="shared" si="4"/>
        <v>0</v>
      </c>
      <c r="R13" s="62">
        <f t="shared" si="5"/>
        <v>0</v>
      </c>
      <c r="S13" s="62">
        <f t="shared" si="6"/>
        <v>0</v>
      </c>
      <c r="T13" s="86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>
        <v>6860.6976290000002</v>
      </c>
      <c r="AF13" s="62">
        <v>8571.7110119999998</v>
      </c>
      <c r="AG13" s="62">
        <f t="shared" si="7"/>
        <v>15432.408641</v>
      </c>
      <c r="AI13" s="62"/>
      <c r="AJ13" s="62"/>
      <c r="AK13" s="62"/>
      <c r="AL13" s="62">
        <f t="shared" si="11"/>
        <v>15432.408641</v>
      </c>
      <c r="AM13" s="86"/>
      <c r="AN13" s="62">
        <v>0</v>
      </c>
      <c r="AO13" s="62">
        <v>0</v>
      </c>
      <c r="AP13" s="61">
        <v>3428.68440461</v>
      </c>
      <c r="AQ13" s="62">
        <v>0</v>
      </c>
      <c r="AR13" s="62">
        <v>0</v>
      </c>
      <c r="AS13" s="62">
        <v>4718.1040286499992</v>
      </c>
      <c r="AT13" s="62"/>
      <c r="AU13" s="62"/>
      <c r="AV13" s="62"/>
      <c r="AW13" s="62"/>
      <c r="AX13" s="62"/>
      <c r="AY13" s="62"/>
      <c r="AZ13" s="62">
        <f t="shared" si="12"/>
        <v>8146.7884332599988</v>
      </c>
      <c r="BB13" s="62">
        <f>SUM(AN13:AP13)</f>
        <v>3428.68440461</v>
      </c>
      <c r="BC13" s="61">
        <f t="shared" si="14"/>
        <v>4718.1040286499992</v>
      </c>
      <c r="BD13" s="62">
        <f t="shared" si="15"/>
        <v>0</v>
      </c>
      <c r="BE13" s="62">
        <f t="shared" si="16"/>
        <v>0</v>
      </c>
    </row>
    <row r="14" spans="1:57" outlineLevel="2">
      <c r="A14" s="37" t="s">
        <v>78</v>
      </c>
      <c r="B14" s="62">
        <v>2684.1000353399995</v>
      </c>
      <c r="C14" s="62">
        <v>28321.595300829998</v>
      </c>
      <c r="D14" s="62">
        <v>2024.1726507999999</v>
      </c>
      <c r="E14" s="62">
        <v>3310.0590769099999</v>
      </c>
      <c r="F14" s="62">
        <v>7476.0966746499998</v>
      </c>
      <c r="G14" s="62">
        <v>2651.3708069700001</v>
      </c>
      <c r="H14" s="62">
        <v>13193.703365330002</v>
      </c>
      <c r="I14" s="62">
        <v>21613.449348219998</v>
      </c>
      <c r="J14" s="62">
        <v>1456.7105349199996</v>
      </c>
      <c r="K14" s="62">
        <v>60383.266686949995</v>
      </c>
      <c r="L14" s="62">
        <v>5704.0674119300011</v>
      </c>
      <c r="M14" s="62">
        <v>14168.994344660001</v>
      </c>
      <c r="N14" s="62">
        <f t="shared" si="2"/>
        <v>162987.58623751</v>
      </c>
      <c r="P14" s="62">
        <f t="shared" si="3"/>
        <v>33029.867986969999</v>
      </c>
      <c r="Q14" s="62">
        <f t="shared" si="4"/>
        <v>13437.52655853</v>
      </c>
      <c r="R14" s="62">
        <f t="shared" si="5"/>
        <v>36263.863248469999</v>
      </c>
      <c r="S14" s="62">
        <f t="shared" si="6"/>
        <v>80256.328443539998</v>
      </c>
      <c r="T14" s="86"/>
      <c r="U14" s="62">
        <v>1578.2154196299998</v>
      </c>
      <c r="V14" s="62">
        <v>2060.6608822000003</v>
      </c>
      <c r="W14" s="62">
        <v>2689.1594118499997</v>
      </c>
      <c r="X14" s="62">
        <v>2281.7452814500002</v>
      </c>
      <c r="Y14" s="62">
        <v>2630.6273606199993</v>
      </c>
      <c r="Z14" s="62">
        <v>1125.0637123500003</v>
      </c>
      <c r="AA14" s="62">
        <v>1759.8787972800001</v>
      </c>
      <c r="AB14" s="62">
        <v>7137.51530189</v>
      </c>
      <c r="AC14" s="62">
        <v>3100.4790733199998</v>
      </c>
      <c r="AD14" s="62">
        <v>2995.27697958</v>
      </c>
      <c r="AE14" s="62">
        <v>7240.8723058000014</v>
      </c>
      <c r="AF14" s="62">
        <v>18264.806126449999</v>
      </c>
      <c r="AG14" s="62">
        <f t="shared" si="7"/>
        <v>52864.300652420003</v>
      </c>
      <c r="AI14" s="62">
        <f t="shared" ref="AI14:AI28" si="17">SUM(U14:W14)</f>
        <v>6328.0357136799994</v>
      </c>
      <c r="AJ14" s="62">
        <f t="shared" ref="AJ14:AJ26" si="18">+X14+Y14+Z14</f>
        <v>6037.4363544199996</v>
      </c>
      <c r="AK14" s="62">
        <f t="shared" ref="AK14:AK26" si="19">+AA14+AB14+AC14</f>
        <v>11997.873172489999</v>
      </c>
      <c r="AL14" s="62">
        <f t="shared" si="11"/>
        <v>28500.95541183</v>
      </c>
      <c r="AM14" s="86"/>
      <c r="AN14" s="62">
        <v>6099.4506936199996</v>
      </c>
      <c r="AO14" s="62">
        <v>15677.806483690001</v>
      </c>
      <c r="AP14" s="61">
        <v>8383.8624153900037</v>
      </c>
      <c r="AQ14" s="62">
        <v>10946.55052149</v>
      </c>
      <c r="AR14" s="62">
        <v>26473.044658119998</v>
      </c>
      <c r="AS14" s="62">
        <v>20525.256933249999</v>
      </c>
      <c r="AT14" s="62"/>
      <c r="AU14" s="62"/>
      <c r="AV14" s="62"/>
      <c r="AW14" s="62"/>
      <c r="AX14" s="62"/>
      <c r="AY14" s="62"/>
      <c r="AZ14" s="62">
        <f t="shared" si="12"/>
        <v>88105.97170555999</v>
      </c>
      <c r="BB14" s="62">
        <f t="shared" ref="BB14:BB37" si="20">SUM(AN14:AP14)</f>
        <v>30161.119592700001</v>
      </c>
      <c r="BC14" s="61">
        <f t="shared" si="14"/>
        <v>57944.852112859997</v>
      </c>
      <c r="BD14" s="62">
        <f t="shared" si="15"/>
        <v>0</v>
      </c>
      <c r="BE14" s="62">
        <f t="shared" si="16"/>
        <v>0</v>
      </c>
    </row>
    <row r="15" spans="1:57"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>
        <f t="shared" si="2"/>
        <v>0</v>
      </c>
      <c r="P15" s="64">
        <f t="shared" si="3"/>
        <v>0</v>
      </c>
      <c r="Q15" s="64">
        <f t="shared" si="4"/>
        <v>0</v>
      </c>
      <c r="R15" s="64">
        <f t="shared" si="5"/>
        <v>0</v>
      </c>
      <c r="S15" s="64">
        <f t="shared" si="6"/>
        <v>0</v>
      </c>
      <c r="T15" s="85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>
        <f t="shared" si="7"/>
        <v>0</v>
      </c>
      <c r="AI15" s="64">
        <f t="shared" si="17"/>
        <v>0</v>
      </c>
      <c r="AJ15" s="64">
        <f t="shared" si="18"/>
        <v>0</v>
      </c>
      <c r="AK15" s="64">
        <f t="shared" si="19"/>
        <v>0</v>
      </c>
      <c r="AL15" s="64">
        <f t="shared" si="11"/>
        <v>0</v>
      </c>
      <c r="AM15" s="85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>
        <f t="shared" si="12"/>
        <v>0</v>
      </c>
      <c r="BB15" s="64">
        <f t="shared" si="20"/>
        <v>0</v>
      </c>
      <c r="BC15" s="64">
        <f t="shared" si="14"/>
        <v>0</v>
      </c>
      <c r="BD15" s="64">
        <f t="shared" si="15"/>
        <v>0</v>
      </c>
      <c r="BE15" s="64">
        <f t="shared" si="16"/>
        <v>0</v>
      </c>
    </row>
    <row r="16" spans="1:57" ht="15.75">
      <c r="A16" s="36" t="s">
        <v>79</v>
      </c>
      <c r="B16" s="65">
        <v>78624.616554879976</v>
      </c>
      <c r="C16" s="65">
        <v>82498.597001290036</v>
      </c>
      <c r="D16" s="65">
        <v>82655.71827333</v>
      </c>
      <c r="E16" s="65">
        <v>82776.436236280017</v>
      </c>
      <c r="F16" s="65">
        <v>80724.799614020012</v>
      </c>
      <c r="G16" s="65">
        <v>88974.936730860063</v>
      </c>
      <c r="H16" s="65">
        <v>80599.010313340012</v>
      </c>
      <c r="I16" s="65">
        <v>90524.430331040174</v>
      </c>
      <c r="J16" s="65">
        <v>87466.044172319991</v>
      </c>
      <c r="K16" s="65">
        <v>87986.596403750053</v>
      </c>
      <c r="L16" s="65">
        <v>91786.481549150078</v>
      </c>
      <c r="M16" s="65">
        <v>89763.275230570071</v>
      </c>
      <c r="N16" s="65">
        <f t="shared" si="2"/>
        <v>1024380.9424108304</v>
      </c>
      <c r="P16" s="65">
        <f t="shared" si="3"/>
        <v>243778.93182950001</v>
      </c>
      <c r="Q16" s="65">
        <f t="shared" si="4"/>
        <v>252476.17258116009</v>
      </c>
      <c r="R16" s="65">
        <f t="shared" si="5"/>
        <v>258589.48481670016</v>
      </c>
      <c r="S16" s="65">
        <f t="shared" si="6"/>
        <v>269536.3531834702</v>
      </c>
      <c r="T16" s="87"/>
      <c r="U16" s="65">
        <v>83498.891753840086</v>
      </c>
      <c r="V16" s="65">
        <v>94018.097944190115</v>
      </c>
      <c r="W16" s="65">
        <v>107852.69033159014</v>
      </c>
      <c r="X16" s="65">
        <v>96528.508250540093</v>
      </c>
      <c r="Y16" s="65">
        <v>93261.429784770138</v>
      </c>
      <c r="Z16" s="65">
        <v>101448.25739130018</v>
      </c>
      <c r="AA16" s="65">
        <v>100436.35066577993</v>
      </c>
      <c r="AB16" s="65">
        <v>98222.550616970097</v>
      </c>
      <c r="AC16" s="65">
        <v>93280.21654488011</v>
      </c>
      <c r="AD16" s="65">
        <v>97524.956843110165</v>
      </c>
      <c r="AE16" s="65">
        <v>111766.04656466025</v>
      </c>
      <c r="AF16" s="65">
        <v>120588.62943814009</v>
      </c>
      <c r="AG16" s="65">
        <f t="shared" si="7"/>
        <v>1198426.6261297713</v>
      </c>
      <c r="AI16" s="65">
        <f t="shared" si="17"/>
        <v>285369.68002962036</v>
      </c>
      <c r="AJ16" s="65">
        <f t="shared" si="18"/>
        <v>291238.19542661041</v>
      </c>
      <c r="AK16" s="65">
        <f t="shared" si="19"/>
        <v>291939.11782763014</v>
      </c>
      <c r="AL16" s="65">
        <f t="shared" si="11"/>
        <v>329879.6328459105</v>
      </c>
      <c r="AM16" s="87"/>
      <c r="AN16" s="65">
        <v>94227.268347830046</v>
      </c>
      <c r="AO16" s="65">
        <v>96338.206451069942</v>
      </c>
      <c r="AP16" s="65">
        <v>94412.687758470289</v>
      </c>
      <c r="AQ16" s="65">
        <v>102298.65673639005</v>
      </c>
      <c r="AR16" s="65">
        <v>98361.418387449943</v>
      </c>
      <c r="AS16" s="65">
        <v>81215.4256300501</v>
      </c>
      <c r="AT16" s="65"/>
      <c r="AU16" s="65"/>
      <c r="AV16" s="65"/>
      <c r="AW16" s="65"/>
      <c r="AX16" s="65"/>
      <c r="AY16" s="65"/>
      <c r="AZ16" s="65">
        <f t="shared" si="12"/>
        <v>566853.6633112604</v>
      </c>
      <c r="BB16" s="65">
        <f t="shared" si="20"/>
        <v>284978.16255737026</v>
      </c>
      <c r="BC16" s="65">
        <f t="shared" si="14"/>
        <v>281875.50075389014</v>
      </c>
      <c r="BD16" s="65">
        <f t="shared" si="15"/>
        <v>0</v>
      </c>
      <c r="BE16" s="65">
        <f t="shared" si="16"/>
        <v>0</v>
      </c>
    </row>
    <row r="17" spans="1:57" outlineLevel="2">
      <c r="B17" s="66"/>
      <c r="C17" s="66"/>
      <c r="D17" s="66"/>
      <c r="E17" s="66"/>
      <c r="F17" s="66"/>
      <c r="G17" s="66">
        <v>0</v>
      </c>
      <c r="H17" s="66">
        <v>0</v>
      </c>
      <c r="I17" s="66">
        <v>0</v>
      </c>
      <c r="J17" s="66">
        <v>0</v>
      </c>
      <c r="K17" s="66">
        <v>0</v>
      </c>
      <c r="L17" s="66">
        <v>0</v>
      </c>
      <c r="M17" s="66">
        <v>0</v>
      </c>
      <c r="N17" s="66">
        <f t="shared" si="2"/>
        <v>0</v>
      </c>
      <c r="P17" s="66">
        <f t="shared" si="3"/>
        <v>0</v>
      </c>
      <c r="Q17" s="66">
        <f t="shared" si="4"/>
        <v>0</v>
      </c>
      <c r="R17" s="66">
        <f t="shared" si="5"/>
        <v>0</v>
      </c>
      <c r="S17" s="66">
        <f t="shared" si="6"/>
        <v>0</v>
      </c>
      <c r="T17" s="88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>
        <f t="shared" si="7"/>
        <v>0</v>
      </c>
      <c r="AI17" s="66">
        <f t="shared" si="17"/>
        <v>0</v>
      </c>
      <c r="AJ17" s="66">
        <f t="shared" si="18"/>
        <v>0</v>
      </c>
      <c r="AK17" s="66">
        <f t="shared" si="19"/>
        <v>0</v>
      </c>
      <c r="AL17" s="66">
        <f t="shared" si="11"/>
        <v>0</v>
      </c>
      <c r="AM17" s="88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>
        <f t="shared" si="12"/>
        <v>0</v>
      </c>
      <c r="BB17" s="66">
        <f t="shared" si="20"/>
        <v>0</v>
      </c>
      <c r="BC17" s="66">
        <f t="shared" si="14"/>
        <v>0</v>
      </c>
      <c r="BD17" s="66">
        <f t="shared" si="15"/>
        <v>0</v>
      </c>
      <c r="BE17" s="66">
        <f t="shared" si="16"/>
        <v>0</v>
      </c>
    </row>
    <row r="18" spans="1:57" ht="15.75" outlineLevel="2">
      <c r="A18" s="39" t="s">
        <v>80</v>
      </c>
      <c r="B18" s="67">
        <v>5408.9153722700012</v>
      </c>
      <c r="C18" s="67">
        <v>4913.0690409799836</v>
      </c>
      <c r="D18" s="67">
        <v>5357.8858326399986</v>
      </c>
      <c r="E18" s="67">
        <v>5160.9337931600003</v>
      </c>
      <c r="F18" s="67">
        <v>5035.7686733399996</v>
      </c>
      <c r="G18" s="67">
        <v>5234.42051713</v>
      </c>
      <c r="H18" s="67">
        <v>5140.5539020699998</v>
      </c>
      <c r="I18" s="67">
        <v>5014.9317246099999</v>
      </c>
      <c r="J18" s="67">
        <v>4985.7547048500001</v>
      </c>
      <c r="K18" s="67">
        <v>5271.3904942000008</v>
      </c>
      <c r="L18" s="67">
        <v>5383.2974259900002</v>
      </c>
      <c r="M18" s="67">
        <v>5336.6574959600002</v>
      </c>
      <c r="N18" s="67">
        <f t="shared" si="2"/>
        <v>62243.578977199984</v>
      </c>
      <c r="P18" s="67">
        <f t="shared" si="3"/>
        <v>15679.870245889984</v>
      </c>
      <c r="Q18" s="67">
        <f t="shared" si="4"/>
        <v>15431.122983629999</v>
      </c>
      <c r="R18" s="67">
        <f t="shared" si="5"/>
        <v>15141.24033153</v>
      </c>
      <c r="S18" s="67">
        <f t="shared" si="6"/>
        <v>15991.345416150001</v>
      </c>
      <c r="T18" s="89"/>
      <c r="U18" s="67">
        <v>5197.5741219499969</v>
      </c>
      <c r="V18" s="67">
        <v>5172.8604465999988</v>
      </c>
      <c r="W18" s="67">
        <v>5274.550766549999</v>
      </c>
      <c r="X18" s="67">
        <v>5163.9623267899988</v>
      </c>
      <c r="Y18" s="67">
        <v>4998.1351591699995</v>
      </c>
      <c r="Z18" s="67">
        <v>5715.0942943099999</v>
      </c>
      <c r="AA18" s="67">
        <v>5398.925474220001</v>
      </c>
      <c r="AB18" s="67">
        <v>4940.1154425999994</v>
      </c>
      <c r="AC18" s="67">
        <v>4874.1753065899993</v>
      </c>
      <c r="AD18" s="67">
        <v>5538.33907877</v>
      </c>
      <c r="AE18" s="67">
        <v>5152.1695760500006</v>
      </c>
      <c r="AF18" s="67">
        <v>5458.854443780001</v>
      </c>
      <c r="AG18" s="67">
        <f t="shared" si="7"/>
        <v>62884.756437379991</v>
      </c>
      <c r="AI18" s="67">
        <f t="shared" si="17"/>
        <v>15644.985335099995</v>
      </c>
      <c r="AJ18" s="67">
        <f t="shared" si="18"/>
        <v>15877.191780269999</v>
      </c>
      <c r="AK18" s="67">
        <f t="shared" si="19"/>
        <v>15213.21622341</v>
      </c>
      <c r="AL18" s="67">
        <f t="shared" si="11"/>
        <v>16149.363098600003</v>
      </c>
      <c r="AM18" s="89"/>
      <c r="AN18" s="67">
        <v>5099.1106191499966</v>
      </c>
      <c r="AO18" s="67">
        <v>5118.7294168699955</v>
      </c>
      <c r="AP18" s="67">
        <v>4368.5681172299946</v>
      </c>
      <c r="AQ18" s="67">
        <v>4885.4287806400007</v>
      </c>
      <c r="AR18" s="67">
        <v>4846.67597441</v>
      </c>
      <c r="AS18" s="67">
        <v>4621.5256760399998</v>
      </c>
      <c r="AT18" s="67"/>
      <c r="AU18" s="67"/>
      <c r="AV18" s="67"/>
      <c r="AW18" s="67"/>
      <c r="AX18" s="67"/>
      <c r="AY18" s="67"/>
      <c r="AZ18" s="67">
        <f t="shared" si="12"/>
        <v>28940.038584339985</v>
      </c>
      <c r="BB18" s="67">
        <f t="shared" si="20"/>
        <v>14586.408153249988</v>
      </c>
      <c r="BC18" s="67">
        <f t="shared" si="14"/>
        <v>14353.630431090001</v>
      </c>
      <c r="BD18" s="67">
        <f t="shared" si="15"/>
        <v>0</v>
      </c>
      <c r="BE18" s="67">
        <f t="shared" si="16"/>
        <v>0</v>
      </c>
    </row>
    <row r="19" spans="1:57" outlineLevel="2">
      <c r="A19" s="37" t="s">
        <v>81</v>
      </c>
      <c r="B19" s="66">
        <v>2283.5070143300018</v>
      </c>
      <c r="C19" s="66">
        <v>2312.9649724299989</v>
      </c>
      <c r="D19" s="66">
        <v>2374.0968674100004</v>
      </c>
      <c r="E19" s="66">
        <v>2433.7679465199999</v>
      </c>
      <c r="F19" s="66">
        <v>2404.6639682399996</v>
      </c>
      <c r="G19" s="66">
        <v>2443.3079904299998</v>
      </c>
      <c r="H19" s="66">
        <v>2400.08498938</v>
      </c>
      <c r="I19" s="66">
        <v>2414.3749425299998</v>
      </c>
      <c r="J19" s="66">
        <v>2374.8675751500004</v>
      </c>
      <c r="K19" s="66">
        <v>2495.6930848600009</v>
      </c>
      <c r="L19" s="66">
        <v>2557.6181527800004</v>
      </c>
      <c r="M19" s="66">
        <v>2497.8981472000009</v>
      </c>
      <c r="N19" s="66">
        <f t="shared" si="2"/>
        <v>28992.845651260006</v>
      </c>
      <c r="P19" s="66">
        <f t="shared" si="3"/>
        <v>6970.568854170001</v>
      </c>
      <c r="Q19" s="66">
        <f t="shared" si="4"/>
        <v>7281.7399051899993</v>
      </c>
      <c r="R19" s="66">
        <f t="shared" si="5"/>
        <v>7189.3275070600002</v>
      </c>
      <c r="S19" s="66">
        <f t="shared" si="6"/>
        <v>7551.2093848400018</v>
      </c>
      <c r="T19" s="88"/>
      <c r="U19" s="66">
        <v>2332.573644879998</v>
      </c>
      <c r="V19" s="66">
        <v>2434.9291349600003</v>
      </c>
      <c r="W19" s="66">
        <v>2580.6508268200005</v>
      </c>
      <c r="X19" s="66">
        <v>2368.8180919699985</v>
      </c>
      <c r="Y19" s="66">
        <v>2618.6375849799997</v>
      </c>
      <c r="Z19" s="66">
        <v>2747.1344496400006</v>
      </c>
      <c r="AA19" s="66">
        <v>2536.9334459700003</v>
      </c>
      <c r="AB19" s="66">
        <v>2619.0028138199987</v>
      </c>
      <c r="AC19" s="66">
        <v>2599.0827797299999</v>
      </c>
      <c r="AD19" s="66">
        <v>2660.6668832599998</v>
      </c>
      <c r="AE19" s="66">
        <v>3127.3994839700003</v>
      </c>
      <c r="AF19" s="66">
        <v>2785.1068477900008</v>
      </c>
      <c r="AG19" s="66">
        <f t="shared" si="7"/>
        <v>31410.935987789999</v>
      </c>
      <c r="AI19" s="66">
        <f t="shared" si="17"/>
        <v>7348.1536066599992</v>
      </c>
      <c r="AJ19" s="66">
        <f t="shared" si="18"/>
        <v>7734.5901265899984</v>
      </c>
      <c r="AK19" s="66">
        <f t="shared" si="19"/>
        <v>7755.0190395199988</v>
      </c>
      <c r="AL19" s="66">
        <f t="shared" si="11"/>
        <v>8573.1732150200005</v>
      </c>
      <c r="AM19" s="88"/>
      <c r="AN19" s="66">
        <v>2500.9648079600001</v>
      </c>
      <c r="AO19" s="66">
        <v>2460.6699677799979</v>
      </c>
      <c r="AP19" s="66">
        <v>2483.225072289998</v>
      </c>
      <c r="AQ19" s="66">
        <v>2623.8952933300011</v>
      </c>
      <c r="AR19" s="66">
        <v>2494.1259797899993</v>
      </c>
      <c r="AS19" s="66">
        <v>2445.5182010399999</v>
      </c>
      <c r="AT19" s="66"/>
      <c r="AU19" s="66"/>
      <c r="AV19" s="66"/>
      <c r="AW19" s="66"/>
      <c r="AX19" s="66"/>
      <c r="AY19" s="66"/>
      <c r="AZ19" s="66">
        <f t="shared" si="12"/>
        <v>15008.399322189996</v>
      </c>
      <c r="BB19" s="66">
        <f t="shared" si="20"/>
        <v>7444.8598480299961</v>
      </c>
      <c r="BC19" s="66">
        <f t="shared" si="14"/>
        <v>7563.5394741600012</v>
      </c>
      <c r="BD19" s="66">
        <f t="shared" si="15"/>
        <v>0</v>
      </c>
      <c r="BE19" s="66">
        <f t="shared" si="16"/>
        <v>0</v>
      </c>
    </row>
    <row r="20" spans="1:57" outlineLevel="2">
      <c r="A20" s="40" t="s">
        <v>82</v>
      </c>
      <c r="B20" s="68">
        <v>3125.408357939999</v>
      </c>
      <c r="C20" s="68">
        <v>2600.1040685499847</v>
      </c>
      <c r="D20" s="68">
        <v>2983.7889652299982</v>
      </c>
      <c r="E20" s="68">
        <v>2727.1658466400004</v>
      </c>
      <c r="F20" s="68">
        <v>2631.1047051</v>
      </c>
      <c r="G20" s="68">
        <v>2791.1125266999998</v>
      </c>
      <c r="H20" s="68">
        <v>2740.4689126899998</v>
      </c>
      <c r="I20" s="68">
        <v>2600.5567820799997</v>
      </c>
      <c r="J20" s="68">
        <v>2610.8871296999996</v>
      </c>
      <c r="K20" s="68">
        <v>2775.6974093399995</v>
      </c>
      <c r="L20" s="68">
        <v>2825.6792732099998</v>
      </c>
      <c r="M20" s="68">
        <v>2838.7593487599993</v>
      </c>
      <c r="N20" s="68">
        <f t="shared" si="2"/>
        <v>33250.733325939982</v>
      </c>
      <c r="P20" s="68">
        <f t="shared" si="3"/>
        <v>8709.3013917199823</v>
      </c>
      <c r="Q20" s="68">
        <f t="shared" si="4"/>
        <v>8149.3830784400006</v>
      </c>
      <c r="R20" s="68">
        <f t="shared" si="5"/>
        <v>7951.9128244699996</v>
      </c>
      <c r="S20" s="68">
        <f t="shared" si="6"/>
        <v>8440.1360313099976</v>
      </c>
      <c r="T20" s="88"/>
      <c r="U20" s="68">
        <v>2865.0004770699989</v>
      </c>
      <c r="V20" s="68">
        <v>2737.9313116399985</v>
      </c>
      <c r="W20" s="68">
        <v>2693.8999397299986</v>
      </c>
      <c r="X20" s="68">
        <v>2795.1442348199998</v>
      </c>
      <c r="Y20" s="68">
        <v>2379.4975741899998</v>
      </c>
      <c r="Z20" s="68">
        <v>2967.9598446699997</v>
      </c>
      <c r="AA20" s="68">
        <v>2861.9920282500007</v>
      </c>
      <c r="AB20" s="68">
        <v>2321.1126287800007</v>
      </c>
      <c r="AC20" s="68">
        <v>2275.0925268599999</v>
      </c>
      <c r="AD20" s="68">
        <v>2877.6721955100002</v>
      </c>
      <c r="AE20" s="68">
        <v>2024.77009208</v>
      </c>
      <c r="AF20" s="68">
        <v>2673.7475959900003</v>
      </c>
      <c r="AG20" s="68">
        <f t="shared" si="7"/>
        <v>31473.820449589995</v>
      </c>
      <c r="AI20" s="68">
        <f t="shared" si="17"/>
        <v>8296.8317284399964</v>
      </c>
      <c r="AJ20" s="68">
        <f t="shared" si="18"/>
        <v>8142.6016536799998</v>
      </c>
      <c r="AK20" s="68">
        <f t="shared" si="19"/>
        <v>7458.1971838900008</v>
      </c>
      <c r="AL20" s="68">
        <f t="shared" si="11"/>
        <v>7576.1898835800002</v>
      </c>
      <c r="AM20" s="88"/>
      <c r="AN20" s="68">
        <v>2598.1458111899997</v>
      </c>
      <c r="AO20" s="68">
        <v>2658.0594490899975</v>
      </c>
      <c r="AP20" s="68">
        <v>1885.3430449399968</v>
      </c>
      <c r="AQ20" s="68">
        <v>2261.5334873100001</v>
      </c>
      <c r="AR20" s="68">
        <v>2352.5499946200002</v>
      </c>
      <c r="AS20" s="68">
        <v>2176.0074749999999</v>
      </c>
      <c r="AT20" s="68"/>
      <c r="AU20" s="68"/>
      <c r="AV20" s="68"/>
      <c r="AW20" s="68"/>
      <c r="AX20" s="68"/>
      <c r="AY20" s="68"/>
      <c r="AZ20" s="68">
        <f t="shared" si="12"/>
        <v>13931.639262149994</v>
      </c>
      <c r="BB20" s="68">
        <f t="shared" si="20"/>
        <v>7141.5483052199943</v>
      </c>
      <c r="BC20" s="68">
        <f t="shared" si="14"/>
        <v>6790.0909569300002</v>
      </c>
      <c r="BD20" s="68">
        <f t="shared" si="15"/>
        <v>0</v>
      </c>
      <c r="BE20" s="68">
        <f t="shared" si="16"/>
        <v>0</v>
      </c>
    </row>
    <row r="21" spans="1:57" outlineLevel="2">
      <c r="B21" s="66"/>
      <c r="C21" s="66"/>
      <c r="D21" s="66"/>
      <c r="E21" s="66"/>
      <c r="F21" s="66"/>
      <c r="G21" s="66">
        <v>0</v>
      </c>
      <c r="H21" s="66">
        <v>0</v>
      </c>
      <c r="I21" s="66">
        <v>0</v>
      </c>
      <c r="J21" s="66">
        <v>0</v>
      </c>
      <c r="K21" s="66">
        <v>0</v>
      </c>
      <c r="L21" s="66">
        <v>0</v>
      </c>
      <c r="M21" s="66">
        <v>0</v>
      </c>
      <c r="N21" s="66">
        <f t="shared" si="2"/>
        <v>0</v>
      </c>
      <c r="P21" s="66">
        <f t="shared" si="3"/>
        <v>0</v>
      </c>
      <c r="Q21" s="66">
        <f t="shared" si="4"/>
        <v>0</v>
      </c>
      <c r="R21" s="66">
        <f t="shared" si="5"/>
        <v>0</v>
      </c>
      <c r="S21" s="66">
        <f t="shared" si="6"/>
        <v>0</v>
      </c>
      <c r="T21" s="88"/>
      <c r="U21" s="66">
        <v>0</v>
      </c>
      <c r="V21" s="66">
        <v>0</v>
      </c>
      <c r="W21" s="66">
        <v>0</v>
      </c>
      <c r="X21" s="66">
        <v>0</v>
      </c>
      <c r="Y21" s="66">
        <v>0</v>
      </c>
      <c r="Z21" s="66">
        <v>0</v>
      </c>
      <c r="AA21" s="66">
        <v>0</v>
      </c>
      <c r="AB21" s="66">
        <v>0</v>
      </c>
      <c r="AC21" s="66"/>
      <c r="AD21" s="66">
        <v>0</v>
      </c>
      <c r="AE21" s="66">
        <v>0</v>
      </c>
      <c r="AF21" s="66">
        <v>0</v>
      </c>
      <c r="AG21" s="66">
        <f t="shared" si="7"/>
        <v>0</v>
      </c>
      <c r="AI21" s="66">
        <f t="shared" si="17"/>
        <v>0</v>
      </c>
      <c r="AJ21" s="66">
        <f t="shared" si="18"/>
        <v>0</v>
      </c>
      <c r="AK21" s="66">
        <f t="shared" si="19"/>
        <v>0</v>
      </c>
      <c r="AL21" s="66">
        <f t="shared" si="11"/>
        <v>0</v>
      </c>
      <c r="AM21" s="88"/>
      <c r="AN21" s="66"/>
      <c r="AO21" s="66"/>
      <c r="AP21" s="66"/>
      <c r="AQ21" s="66"/>
      <c r="AR21" s="66"/>
      <c r="AS21" s="66"/>
      <c r="AT21" s="66"/>
      <c r="AU21" s="66"/>
      <c r="AV21" s="66"/>
      <c r="AW21" s="66"/>
      <c r="AX21" s="66"/>
      <c r="AY21" s="66"/>
      <c r="AZ21" s="66">
        <f t="shared" si="12"/>
        <v>0</v>
      </c>
      <c r="BB21" s="66">
        <f t="shared" si="20"/>
        <v>0</v>
      </c>
      <c r="BC21" s="66">
        <f t="shared" si="14"/>
        <v>0</v>
      </c>
      <c r="BD21" s="66">
        <f t="shared" si="15"/>
        <v>0</v>
      </c>
      <c r="BE21" s="66">
        <f t="shared" si="16"/>
        <v>0</v>
      </c>
    </row>
    <row r="22" spans="1:57" ht="15.75" outlineLevel="2">
      <c r="A22" s="39" t="s">
        <v>83</v>
      </c>
      <c r="B22" s="69">
        <v>13291.997250989998</v>
      </c>
      <c r="C22" s="69">
        <v>18634.640604710046</v>
      </c>
      <c r="D22" s="69">
        <v>15757.988417630046</v>
      </c>
      <c r="E22" s="69">
        <v>15670.622028460039</v>
      </c>
      <c r="F22" s="69">
        <v>16467.061360070016</v>
      </c>
      <c r="G22" s="69">
        <v>22299.234443240057</v>
      </c>
      <c r="H22" s="69">
        <v>15802.663342029953</v>
      </c>
      <c r="I22" s="69">
        <v>19524.305945070089</v>
      </c>
      <c r="J22" s="69">
        <v>19999.546255890007</v>
      </c>
      <c r="K22" s="69">
        <v>20967.941427269998</v>
      </c>
      <c r="L22" s="69">
        <v>22834.755790600055</v>
      </c>
      <c r="M22" s="69">
        <v>25708.696800030037</v>
      </c>
      <c r="N22" s="69">
        <f t="shared" si="2"/>
        <v>226959.45366599035</v>
      </c>
      <c r="P22" s="69">
        <f t="shared" si="3"/>
        <v>47684.62627333009</v>
      </c>
      <c r="Q22" s="69">
        <f t="shared" si="4"/>
        <v>54436.917831770115</v>
      </c>
      <c r="R22" s="69">
        <f t="shared" si="5"/>
        <v>55326.515542990048</v>
      </c>
      <c r="S22" s="69">
        <f t="shared" si="6"/>
        <v>69511.394017900093</v>
      </c>
      <c r="T22" s="90"/>
      <c r="U22" s="69">
        <v>14881.11989538003</v>
      </c>
      <c r="V22" s="69">
        <v>21208.17214351998</v>
      </c>
      <c r="W22" s="69">
        <v>30181.91967562</v>
      </c>
      <c r="X22" s="69">
        <v>23340.855033780001</v>
      </c>
      <c r="Y22" s="69">
        <v>19793.268564879982</v>
      </c>
      <c r="Z22" s="69">
        <v>30044.655020400125</v>
      </c>
      <c r="AA22" s="69">
        <v>28002.279842509957</v>
      </c>
      <c r="AB22" s="69">
        <v>27854.278394440102</v>
      </c>
      <c r="AC22" s="69">
        <v>24362.503169399959</v>
      </c>
      <c r="AD22" s="69">
        <v>25831.100542260014</v>
      </c>
      <c r="AE22" s="69">
        <v>41442.792634770129</v>
      </c>
      <c r="AF22" s="69">
        <v>34252.309676430028</v>
      </c>
      <c r="AG22" s="69">
        <f t="shared" si="7"/>
        <v>321195.25459339027</v>
      </c>
      <c r="AI22" s="69">
        <f t="shared" si="17"/>
        <v>66271.211714520003</v>
      </c>
      <c r="AJ22" s="69">
        <f t="shared" si="18"/>
        <v>73178.778619060104</v>
      </c>
      <c r="AK22" s="69">
        <f t="shared" si="19"/>
        <v>80219.061406350025</v>
      </c>
      <c r="AL22" s="69">
        <f t="shared" si="11"/>
        <v>101526.20285346017</v>
      </c>
      <c r="AM22" s="90"/>
      <c r="AN22" s="69">
        <v>19886.992063060021</v>
      </c>
      <c r="AO22" s="69">
        <v>22295.28278560987</v>
      </c>
      <c r="AP22" s="69">
        <v>21843.825287680014</v>
      </c>
      <c r="AQ22" s="69">
        <v>21485.298896670007</v>
      </c>
      <c r="AR22" s="69">
        <v>22153.258476549949</v>
      </c>
      <c r="AS22" s="69">
        <v>19124.581697829999</v>
      </c>
      <c r="AT22" s="69"/>
      <c r="AU22" s="69"/>
      <c r="AV22" s="69"/>
      <c r="AW22" s="69"/>
      <c r="AX22" s="69"/>
      <c r="AY22" s="69"/>
      <c r="AZ22" s="69">
        <f t="shared" si="12"/>
        <v>126789.23920739986</v>
      </c>
      <c r="BB22" s="69">
        <f t="shared" si="20"/>
        <v>64026.100136349909</v>
      </c>
      <c r="BC22" s="69">
        <f t="shared" si="14"/>
        <v>62763.139071049955</v>
      </c>
      <c r="BD22" s="69">
        <f t="shared" si="15"/>
        <v>0</v>
      </c>
      <c r="BE22" s="69">
        <f t="shared" si="16"/>
        <v>0</v>
      </c>
    </row>
    <row r="23" spans="1:57" outlineLevel="2">
      <c r="A23" s="37" t="s">
        <v>84</v>
      </c>
      <c r="B23" s="70">
        <v>3249.5250178999895</v>
      </c>
      <c r="C23" s="70">
        <v>6749.872110320006</v>
      </c>
      <c r="D23" s="70">
        <v>1408.5213279200175</v>
      </c>
      <c r="E23" s="70">
        <v>4036.699737859999</v>
      </c>
      <c r="F23" s="70">
        <v>2372.8054156200055</v>
      </c>
      <c r="G23" s="70">
        <v>5715.869211860012</v>
      </c>
      <c r="H23" s="70">
        <v>4247.7136777000105</v>
      </c>
      <c r="I23" s="70">
        <v>4893.0092340000338</v>
      </c>
      <c r="J23" s="70">
        <v>6491.3135460000176</v>
      </c>
      <c r="K23" s="70">
        <v>4308.2597326800051</v>
      </c>
      <c r="L23" s="70">
        <v>5076.3340277700099</v>
      </c>
      <c r="M23" s="70">
        <v>4880.5774439000343</v>
      </c>
      <c r="N23" s="70">
        <f t="shared" si="2"/>
        <v>53430.500483530137</v>
      </c>
      <c r="P23" s="66">
        <f t="shared" si="3"/>
        <v>11407.918456140014</v>
      </c>
      <c r="Q23" s="66">
        <f t="shared" si="4"/>
        <v>12125.374365340016</v>
      </c>
      <c r="R23" s="66">
        <f t="shared" si="5"/>
        <v>15632.036457700062</v>
      </c>
      <c r="S23" s="66">
        <f t="shared" si="6"/>
        <v>14265.171204350048</v>
      </c>
      <c r="T23" s="88"/>
      <c r="U23" s="70">
        <v>4223.3619239999816</v>
      </c>
      <c r="V23" s="70">
        <v>6341.9973563900203</v>
      </c>
      <c r="W23" s="70">
        <v>6561.6811055599746</v>
      </c>
      <c r="X23" s="70">
        <v>5842.1175099999627</v>
      </c>
      <c r="Y23" s="70">
        <v>1803.143577000013</v>
      </c>
      <c r="Z23" s="70">
        <v>4641.0023805000119</v>
      </c>
      <c r="AA23" s="70">
        <v>5073.8885188999939</v>
      </c>
      <c r="AB23" s="70">
        <v>4854.309871000014</v>
      </c>
      <c r="AC23" s="70">
        <v>4324.9043919999913</v>
      </c>
      <c r="AD23" s="70">
        <v>2711.211713510027</v>
      </c>
      <c r="AE23" s="70">
        <v>4779.4635215299959</v>
      </c>
      <c r="AF23" s="70">
        <v>2739.0007938999984</v>
      </c>
      <c r="AG23" s="70">
        <f t="shared" si="7"/>
        <v>53896.082664289985</v>
      </c>
      <c r="AI23" s="66">
        <f t="shared" si="17"/>
        <v>17127.040385949978</v>
      </c>
      <c r="AJ23" s="66">
        <f t="shared" si="18"/>
        <v>12286.263467499986</v>
      </c>
      <c r="AK23" s="66">
        <f t="shared" si="19"/>
        <v>14253.102781899999</v>
      </c>
      <c r="AL23" s="66">
        <f t="shared" si="11"/>
        <v>10229.676028940021</v>
      </c>
      <c r="AM23" s="88"/>
      <c r="AN23" s="70">
        <v>4151.3970546499968</v>
      </c>
      <c r="AO23" s="70">
        <v>4007.5153901599988</v>
      </c>
      <c r="AP23" s="70">
        <v>3617.9613864700136</v>
      </c>
      <c r="AQ23" s="70">
        <v>3490.904867310016</v>
      </c>
      <c r="AR23" s="70">
        <v>3136.539222300009</v>
      </c>
      <c r="AS23" s="70">
        <v>2711.8237555599999</v>
      </c>
      <c r="AT23" s="70"/>
      <c r="AU23" s="70"/>
      <c r="AV23" s="70"/>
      <c r="AW23" s="70"/>
      <c r="AX23" s="70"/>
      <c r="AY23" s="70"/>
      <c r="AZ23" s="70">
        <f t="shared" si="12"/>
        <v>21116.141676450032</v>
      </c>
      <c r="BB23" s="66">
        <f t="shared" si="20"/>
        <v>11776.873831280009</v>
      </c>
      <c r="BC23" s="66">
        <f t="shared" si="14"/>
        <v>9339.2678451700249</v>
      </c>
      <c r="BD23" s="66">
        <f t="shared" si="15"/>
        <v>0</v>
      </c>
      <c r="BE23" s="66">
        <f t="shared" si="16"/>
        <v>0</v>
      </c>
    </row>
    <row r="24" spans="1:57" outlineLevel="2">
      <c r="A24" s="37" t="s">
        <v>85</v>
      </c>
      <c r="B24" s="70">
        <v>1162.7202912700104</v>
      </c>
      <c r="C24" s="70">
        <v>2473.9018949699971</v>
      </c>
      <c r="D24" s="70">
        <v>2757.323206999989</v>
      </c>
      <c r="E24" s="70">
        <v>1345.6552080799979</v>
      </c>
      <c r="F24" s="70">
        <v>2476.3501193200013</v>
      </c>
      <c r="G24" s="70">
        <v>2310.1790607499975</v>
      </c>
      <c r="H24" s="70">
        <v>2302.733884999991</v>
      </c>
      <c r="I24" s="70">
        <v>3184.6904743399964</v>
      </c>
      <c r="J24" s="70">
        <v>2360.707872820004</v>
      </c>
      <c r="K24" s="70">
        <v>1919.8527886899947</v>
      </c>
      <c r="L24" s="70">
        <v>815.9185629999979</v>
      </c>
      <c r="M24" s="70">
        <v>1189.8469326999971</v>
      </c>
      <c r="N24" s="70">
        <f t="shared" si="2"/>
        <v>24299.880297939973</v>
      </c>
      <c r="P24" s="66">
        <f t="shared" si="3"/>
        <v>6393.9453932399965</v>
      </c>
      <c r="Q24" s="66">
        <f t="shared" si="4"/>
        <v>6132.1843881499972</v>
      </c>
      <c r="R24" s="66">
        <f t="shared" si="5"/>
        <v>7848.1322321599919</v>
      </c>
      <c r="S24" s="66">
        <f t="shared" si="6"/>
        <v>3925.6182843899896</v>
      </c>
      <c r="T24" s="88"/>
      <c r="U24" s="70">
        <v>1335.5323044999991</v>
      </c>
      <c r="V24" s="70">
        <v>2619.0078715000027</v>
      </c>
      <c r="W24" s="70">
        <v>2543.8541053499921</v>
      </c>
      <c r="X24" s="70">
        <v>2051.690093149999</v>
      </c>
      <c r="Y24" s="70">
        <v>2445.2033505000045</v>
      </c>
      <c r="Z24" s="70">
        <v>2016.4969265200018</v>
      </c>
      <c r="AA24" s="70">
        <v>2776.4466671400028</v>
      </c>
      <c r="AB24" s="70">
        <v>2643.3205023400055</v>
      </c>
      <c r="AC24" s="70">
        <v>2497.2612420000023</v>
      </c>
      <c r="AD24" s="70">
        <v>3714.9190392700061</v>
      </c>
      <c r="AE24" s="70">
        <v>2010.6843529999946</v>
      </c>
      <c r="AF24" s="70">
        <v>1957.9565560200012</v>
      </c>
      <c r="AG24" s="70">
        <f t="shared" si="7"/>
        <v>28612.373011290012</v>
      </c>
      <c r="AI24" s="66">
        <f t="shared" si="17"/>
        <v>6498.3942813499943</v>
      </c>
      <c r="AJ24" s="66">
        <f t="shared" si="18"/>
        <v>6513.3903701700056</v>
      </c>
      <c r="AK24" s="66">
        <f t="shared" si="19"/>
        <v>7917.0284114800106</v>
      </c>
      <c r="AL24" s="66">
        <f t="shared" si="11"/>
        <v>7683.5599482900016</v>
      </c>
      <c r="AM24" s="88"/>
      <c r="AN24" s="70">
        <v>1544.660071739999</v>
      </c>
      <c r="AO24" s="70">
        <v>2598.1907373100016</v>
      </c>
      <c r="AP24" s="70">
        <v>2416.8051406100021</v>
      </c>
      <c r="AQ24" s="70">
        <v>1370.6863837900032</v>
      </c>
      <c r="AR24" s="70">
        <v>2360.592992660002</v>
      </c>
      <c r="AS24" s="70">
        <v>1643.93592732</v>
      </c>
      <c r="AT24" s="70"/>
      <c r="AU24" s="70"/>
      <c r="AV24" s="70"/>
      <c r="AW24" s="70"/>
      <c r="AX24" s="70"/>
      <c r="AY24" s="70"/>
      <c r="AZ24" s="70">
        <f t="shared" si="12"/>
        <v>11934.871253430008</v>
      </c>
      <c r="BB24" s="66">
        <f t="shared" si="20"/>
        <v>6559.655949660003</v>
      </c>
      <c r="BC24" s="66">
        <f t="shared" si="14"/>
        <v>5375.2153037700054</v>
      </c>
      <c r="BD24" s="66">
        <f t="shared" si="15"/>
        <v>0</v>
      </c>
      <c r="BE24" s="66">
        <f t="shared" si="16"/>
        <v>0</v>
      </c>
    </row>
    <row r="25" spans="1:57" outlineLevel="2">
      <c r="A25" s="37" t="s">
        <v>86</v>
      </c>
      <c r="B25" s="70">
        <v>7566.3535826099987</v>
      </c>
      <c r="C25" s="70">
        <v>8142.2692379000473</v>
      </c>
      <c r="D25" s="70">
        <v>9909.580630550041</v>
      </c>
      <c r="E25" s="70">
        <v>7934.6683761400427</v>
      </c>
      <c r="F25" s="70">
        <v>10162.35143294001</v>
      </c>
      <c r="G25" s="70">
        <v>12198.95123951005</v>
      </c>
      <c r="H25" s="70">
        <v>7447.7787833599514</v>
      </c>
      <c r="I25" s="70">
        <v>9836.5702670900573</v>
      </c>
      <c r="J25" s="70">
        <v>9531.25875257999</v>
      </c>
      <c r="K25" s="70">
        <v>13044.752634029999</v>
      </c>
      <c r="L25" s="70">
        <v>15910.825021360044</v>
      </c>
      <c r="M25" s="70">
        <v>18289.978162510004</v>
      </c>
      <c r="N25" s="70">
        <f t="shared" si="2"/>
        <v>129975.33812058021</v>
      </c>
      <c r="P25" s="66">
        <f t="shared" si="3"/>
        <v>25618.203451060086</v>
      </c>
      <c r="Q25" s="66">
        <f t="shared" si="4"/>
        <v>30295.971048590101</v>
      </c>
      <c r="R25" s="66">
        <f t="shared" si="5"/>
        <v>26815.607803029998</v>
      </c>
      <c r="S25" s="66">
        <f t="shared" si="6"/>
        <v>47245.555817900051</v>
      </c>
      <c r="T25" s="88"/>
      <c r="U25" s="70">
        <v>7848.6870394500502</v>
      </c>
      <c r="V25" s="70">
        <v>10778.433451789959</v>
      </c>
      <c r="W25" s="70">
        <v>19498.485307760035</v>
      </c>
      <c r="X25" s="70">
        <v>13549.671508370042</v>
      </c>
      <c r="Y25" s="70">
        <v>14296.699520529965</v>
      </c>
      <c r="Z25" s="70">
        <v>21631.787299900112</v>
      </c>
      <c r="AA25" s="70">
        <v>17043.719062389962</v>
      </c>
      <c r="AB25" s="70">
        <v>19227.009556530062</v>
      </c>
      <c r="AC25" s="70">
        <v>15676.845823549964</v>
      </c>
      <c r="AD25" s="70">
        <v>18572.948334589986</v>
      </c>
      <c r="AE25" s="70">
        <v>33470.69176729014</v>
      </c>
      <c r="AF25" s="70">
        <v>27392.570092550028</v>
      </c>
      <c r="AG25" s="70">
        <f t="shared" si="7"/>
        <v>218987.5487647003</v>
      </c>
      <c r="AI25" s="66">
        <f t="shared" si="17"/>
        <v>38125.605799000041</v>
      </c>
      <c r="AJ25" s="66">
        <f t="shared" si="18"/>
        <v>49478.15832880012</v>
      </c>
      <c r="AK25" s="66">
        <f t="shared" si="19"/>
        <v>51947.574442469988</v>
      </c>
      <c r="AL25" s="66">
        <f t="shared" si="11"/>
        <v>79436.210194430154</v>
      </c>
      <c r="AM25" s="88"/>
      <c r="AN25" s="70">
        <v>13489.152006250024</v>
      </c>
      <c r="AO25" s="70">
        <v>14510.317996049867</v>
      </c>
      <c r="AP25" s="70">
        <v>14556.086870040002</v>
      </c>
      <c r="AQ25" s="70">
        <v>15451.820620819988</v>
      </c>
      <c r="AR25" s="70">
        <v>14966.281095669936</v>
      </c>
      <c r="AS25" s="70">
        <v>13765.172120970001</v>
      </c>
      <c r="AT25" s="70"/>
      <c r="AU25" s="70"/>
      <c r="AV25" s="70"/>
      <c r="AW25" s="70"/>
      <c r="AX25" s="70"/>
      <c r="AY25" s="70"/>
      <c r="AZ25" s="70">
        <f t="shared" si="12"/>
        <v>86738.830709799819</v>
      </c>
      <c r="BB25" s="66">
        <f t="shared" si="20"/>
        <v>42555.55687233989</v>
      </c>
      <c r="BC25" s="66">
        <f t="shared" si="14"/>
        <v>44183.273837459928</v>
      </c>
      <c r="BD25" s="66">
        <f t="shared" si="15"/>
        <v>0</v>
      </c>
      <c r="BE25" s="66">
        <f t="shared" si="16"/>
        <v>0</v>
      </c>
    </row>
    <row r="26" spans="1:57" outlineLevel="2">
      <c r="A26" s="37" t="s">
        <v>87</v>
      </c>
      <c r="B26" s="70">
        <v>647.9400790000002</v>
      </c>
      <c r="C26" s="70">
        <v>481.82318000000009</v>
      </c>
      <c r="D26" s="70">
        <v>747.54130700000019</v>
      </c>
      <c r="E26" s="70">
        <v>1072.5717509999997</v>
      </c>
      <c r="F26" s="70">
        <v>572.77418300000079</v>
      </c>
      <c r="G26" s="70">
        <v>1011.8075039999997</v>
      </c>
      <c r="H26" s="70">
        <v>743.92726094999989</v>
      </c>
      <c r="I26" s="70">
        <v>594.15189399999963</v>
      </c>
      <c r="J26" s="70">
        <v>671.60378199999968</v>
      </c>
      <c r="K26" s="70">
        <v>640.41957900000011</v>
      </c>
      <c r="L26" s="70">
        <v>289.03018799999978</v>
      </c>
      <c r="M26" s="70">
        <v>236.46098499999985</v>
      </c>
      <c r="N26" s="70">
        <f t="shared" si="2"/>
        <v>7710.0516929499991</v>
      </c>
      <c r="P26" s="66">
        <f t="shared" si="3"/>
        <v>1877.3045660000005</v>
      </c>
      <c r="Q26" s="66">
        <f t="shared" si="4"/>
        <v>2657.1534380000003</v>
      </c>
      <c r="R26" s="66">
        <f t="shared" si="5"/>
        <v>2009.6829369499992</v>
      </c>
      <c r="S26" s="66">
        <f t="shared" si="6"/>
        <v>1165.9107519999998</v>
      </c>
      <c r="T26" s="88"/>
      <c r="U26" s="70">
        <v>583.22587099999998</v>
      </c>
      <c r="V26" s="70">
        <v>553.18249999999921</v>
      </c>
      <c r="W26" s="70">
        <v>696.87174600000003</v>
      </c>
      <c r="X26" s="70">
        <v>1385.580827</v>
      </c>
      <c r="Y26" s="70">
        <v>553.87755027999992</v>
      </c>
      <c r="Z26" s="70">
        <v>987.31016671999998</v>
      </c>
      <c r="AA26" s="70">
        <v>1065.5551260000011</v>
      </c>
      <c r="AB26" s="70">
        <v>654.06487399999946</v>
      </c>
      <c r="AC26" s="70">
        <v>1008.995948</v>
      </c>
      <c r="AD26" s="70">
        <v>308.81147979999957</v>
      </c>
      <c r="AE26" s="70">
        <v>666.94084819999978</v>
      </c>
      <c r="AF26" s="70">
        <v>1474.7345846300013</v>
      </c>
      <c r="AG26" s="70">
        <f t="shared" si="7"/>
        <v>9939.1515216299995</v>
      </c>
      <c r="AI26" s="66">
        <f t="shared" si="17"/>
        <v>1833.2801169999991</v>
      </c>
      <c r="AJ26" s="66">
        <f t="shared" si="18"/>
        <v>2926.768544</v>
      </c>
      <c r="AK26" s="66">
        <f t="shared" si="19"/>
        <v>2728.6159480000006</v>
      </c>
      <c r="AL26" s="66">
        <f t="shared" si="11"/>
        <v>2450.4869126300009</v>
      </c>
      <c r="AM26" s="88"/>
      <c r="AN26" s="70">
        <v>218.19024326999988</v>
      </c>
      <c r="AO26" s="70">
        <v>841.41612699999951</v>
      </c>
      <c r="AP26" s="70">
        <v>522.50442199999975</v>
      </c>
      <c r="AQ26" s="70">
        <v>588.19260900000018</v>
      </c>
      <c r="AR26" s="70">
        <v>1096.4232329699998</v>
      </c>
      <c r="AS26" s="70">
        <v>411.487413</v>
      </c>
      <c r="AT26" s="70"/>
      <c r="AU26" s="70"/>
      <c r="AV26" s="70"/>
      <c r="AW26" s="70"/>
      <c r="AX26" s="70"/>
      <c r="AY26" s="70"/>
      <c r="AZ26" s="70">
        <f t="shared" si="12"/>
        <v>3678.2140472399988</v>
      </c>
      <c r="BB26" s="66">
        <f t="shared" si="20"/>
        <v>1582.1107922699991</v>
      </c>
      <c r="BC26" s="66">
        <f t="shared" si="14"/>
        <v>2096.1032549699999</v>
      </c>
      <c r="BD26" s="66">
        <f t="shared" si="15"/>
        <v>0</v>
      </c>
      <c r="BE26" s="66">
        <f t="shared" si="16"/>
        <v>0</v>
      </c>
    </row>
    <row r="27" spans="1:57" outlineLevel="2">
      <c r="A27" s="37" t="s">
        <v>88</v>
      </c>
      <c r="B27" s="70">
        <v>521.09825199999955</v>
      </c>
      <c r="C27" s="70">
        <v>643.51368000000014</v>
      </c>
      <c r="D27" s="70">
        <v>781.16770799999961</v>
      </c>
      <c r="E27" s="70">
        <v>1117.56684</v>
      </c>
      <c r="F27" s="70">
        <v>747.9187979999997</v>
      </c>
      <c r="G27" s="70">
        <v>840.86449000000016</v>
      </c>
      <c r="H27" s="70">
        <v>807.66922899999986</v>
      </c>
      <c r="I27" s="70">
        <v>759.70212900000001</v>
      </c>
      <c r="J27" s="70">
        <v>749.69403899999975</v>
      </c>
      <c r="K27" s="70">
        <v>803.32043700000008</v>
      </c>
      <c r="L27" s="70">
        <v>651.04234600000098</v>
      </c>
      <c r="M27" s="70">
        <v>901.62075499999969</v>
      </c>
      <c r="N27" s="70">
        <f t="shared" si="2"/>
        <v>9325.1787029999996</v>
      </c>
      <c r="P27" s="66">
        <f t="shared" si="3"/>
        <v>1945.7796399999993</v>
      </c>
      <c r="Q27" s="66">
        <f t="shared" si="4"/>
        <v>2706.350128</v>
      </c>
      <c r="R27" s="66">
        <f t="shared" si="5"/>
        <v>2317.0653969999994</v>
      </c>
      <c r="S27" s="66">
        <f t="shared" si="6"/>
        <v>2355.9835380000004</v>
      </c>
      <c r="T27" s="88"/>
      <c r="U27" s="70">
        <v>745.60208200000011</v>
      </c>
      <c r="V27" s="70">
        <v>722.7087930000007</v>
      </c>
      <c r="W27" s="70">
        <v>588.10978199999954</v>
      </c>
      <c r="X27" s="70">
        <v>499.73721300000051</v>
      </c>
      <c r="Y27" s="70">
        <v>525.13810900000044</v>
      </c>
      <c r="Z27" s="70">
        <v>546.70002000000022</v>
      </c>
      <c r="AA27" s="70">
        <v>476.12017599999984</v>
      </c>
      <c r="AB27" s="70">
        <v>327.22917600000017</v>
      </c>
      <c r="AC27" s="70">
        <v>396.43113899999992</v>
      </c>
      <c r="AD27" s="70">
        <v>355.57115999999974</v>
      </c>
      <c r="AE27" s="70">
        <v>382.26513199999999</v>
      </c>
      <c r="AF27" s="70">
        <v>553.65554099999986</v>
      </c>
      <c r="AG27" s="70">
        <f t="shared" si="7"/>
        <v>6119.2683230000002</v>
      </c>
      <c r="AI27" s="66">
        <f t="shared" si="17"/>
        <v>2056.4206570000006</v>
      </c>
      <c r="AJ27" s="66">
        <f t="shared" ref="AJ27:AJ53" si="21">+X27+Y27+Z27</f>
        <v>1571.5753420000012</v>
      </c>
      <c r="AK27" s="66">
        <f t="shared" ref="AK27:AK53" si="22">+AA27+AB27+AC27</f>
        <v>1199.780491</v>
      </c>
      <c r="AL27" s="66">
        <f t="shared" ref="AL27:AL53" si="23">+AD27+AE27+AF27</f>
        <v>1291.4918329999996</v>
      </c>
      <c r="AM27" s="88"/>
      <c r="AN27" s="70">
        <v>401.87267949999978</v>
      </c>
      <c r="AO27" s="70">
        <v>237.03468899999979</v>
      </c>
      <c r="AP27" s="70">
        <v>619.15558496000006</v>
      </c>
      <c r="AQ27" s="70">
        <v>480.54763604000004</v>
      </c>
      <c r="AR27" s="70">
        <v>472.19453000000033</v>
      </c>
      <c r="AS27" s="70">
        <v>453.91213449999998</v>
      </c>
      <c r="AT27" s="70"/>
      <c r="AU27" s="70"/>
      <c r="AV27" s="70"/>
      <c r="AW27" s="70"/>
      <c r="AX27" s="70"/>
      <c r="AY27" s="70"/>
      <c r="AZ27" s="70">
        <f t="shared" si="12"/>
        <v>2664.7172540000001</v>
      </c>
      <c r="BB27" s="66">
        <f t="shared" si="20"/>
        <v>1258.0629534599998</v>
      </c>
      <c r="BC27" s="66">
        <f t="shared" si="14"/>
        <v>1406.6543005400003</v>
      </c>
      <c r="BD27" s="66">
        <f t="shared" si="15"/>
        <v>0</v>
      </c>
      <c r="BE27" s="66">
        <f t="shared" si="16"/>
        <v>0</v>
      </c>
    </row>
    <row r="28" spans="1:57" outlineLevel="2">
      <c r="A28" s="37" t="s">
        <v>89</v>
      </c>
      <c r="B28" s="66">
        <v>144.36002820999994</v>
      </c>
      <c r="C28" s="66">
        <v>143.26050152000002</v>
      </c>
      <c r="D28" s="66">
        <v>153.85423716</v>
      </c>
      <c r="E28" s="66">
        <v>163.4601153800001</v>
      </c>
      <c r="F28" s="66">
        <v>134.86141118999993</v>
      </c>
      <c r="G28" s="66">
        <v>221.56293711999825</v>
      </c>
      <c r="H28" s="66">
        <v>252.84050602000008</v>
      </c>
      <c r="I28" s="66">
        <v>256.18194664000009</v>
      </c>
      <c r="J28" s="66">
        <v>194.96826348999991</v>
      </c>
      <c r="K28" s="66">
        <v>251.33625586999847</v>
      </c>
      <c r="L28" s="66">
        <v>91.605644469999845</v>
      </c>
      <c r="M28" s="66">
        <v>210.21252092000009</v>
      </c>
      <c r="N28" s="66">
        <f t="shared" si="2"/>
        <v>2218.5043679899968</v>
      </c>
      <c r="P28" s="66">
        <f t="shared" si="3"/>
        <v>441.47476688999996</v>
      </c>
      <c r="Q28" s="66">
        <f t="shared" si="4"/>
        <v>519.88446368999826</v>
      </c>
      <c r="R28" s="66">
        <f t="shared" si="5"/>
        <v>703.99071615000003</v>
      </c>
      <c r="S28" s="66">
        <f t="shared" si="6"/>
        <v>553.15442125999834</v>
      </c>
      <c r="T28" s="88"/>
      <c r="U28" s="66">
        <v>144.71067442999976</v>
      </c>
      <c r="V28" s="66">
        <v>192.84217084000005</v>
      </c>
      <c r="W28" s="66">
        <v>292.9176289499996</v>
      </c>
      <c r="X28" s="66">
        <v>12.057882260000099</v>
      </c>
      <c r="Y28" s="66">
        <v>169.20645757000005</v>
      </c>
      <c r="Z28" s="66">
        <v>221.35822676000009</v>
      </c>
      <c r="AA28" s="66">
        <v>1566.5502920799995</v>
      </c>
      <c r="AB28" s="66">
        <v>148.34441457</v>
      </c>
      <c r="AC28" s="66">
        <v>458.06462485000014</v>
      </c>
      <c r="AD28" s="66">
        <v>167.63881508999998</v>
      </c>
      <c r="AE28" s="66">
        <v>132.74701275000007</v>
      </c>
      <c r="AF28" s="66">
        <v>134.39210833000004</v>
      </c>
      <c r="AG28" s="66">
        <f t="shared" si="7"/>
        <v>3640.83030848</v>
      </c>
      <c r="AI28" s="66">
        <f t="shared" si="17"/>
        <v>630.47047421999946</v>
      </c>
      <c r="AJ28" s="66">
        <f t="shared" si="21"/>
        <v>402.62256659000025</v>
      </c>
      <c r="AK28" s="66">
        <f t="shared" si="22"/>
        <v>2172.9593314999997</v>
      </c>
      <c r="AL28" s="66">
        <f t="shared" si="23"/>
        <v>434.77793617000009</v>
      </c>
      <c r="AM28" s="88"/>
      <c r="AN28" s="66">
        <v>81.720007650000028</v>
      </c>
      <c r="AO28" s="66">
        <v>100.80784608999997</v>
      </c>
      <c r="AP28" s="66">
        <v>111.31188359999993</v>
      </c>
      <c r="AQ28" s="66">
        <v>103.14677970999998</v>
      </c>
      <c r="AR28" s="66">
        <v>121.22740294999988</v>
      </c>
      <c r="AS28" s="66">
        <v>138.25034647999999</v>
      </c>
      <c r="AT28" s="66"/>
      <c r="AU28" s="66"/>
      <c r="AV28" s="66"/>
      <c r="AW28" s="66"/>
      <c r="AX28" s="66"/>
      <c r="AY28" s="66"/>
      <c r="AZ28" s="66">
        <f t="shared" si="12"/>
        <v>656.46426647999976</v>
      </c>
      <c r="BB28" s="66">
        <f t="shared" si="20"/>
        <v>293.83973733999994</v>
      </c>
      <c r="BC28" s="66">
        <f t="shared" si="14"/>
        <v>362.62452913999982</v>
      </c>
      <c r="BD28" s="66">
        <f t="shared" si="15"/>
        <v>0</v>
      </c>
      <c r="BE28" s="66">
        <f t="shared" si="16"/>
        <v>0</v>
      </c>
    </row>
    <row r="29" spans="1:57" outlineLevel="2">
      <c r="A29" s="41"/>
      <c r="B29" s="66"/>
      <c r="C29" s="66"/>
      <c r="D29" s="66"/>
      <c r="E29" s="66"/>
      <c r="F29" s="66"/>
      <c r="G29" s="66">
        <v>0</v>
      </c>
      <c r="H29" s="66">
        <v>0</v>
      </c>
      <c r="I29" s="66">
        <v>0</v>
      </c>
      <c r="J29" s="66">
        <v>0</v>
      </c>
      <c r="K29" s="66">
        <v>0</v>
      </c>
      <c r="L29" s="66">
        <v>0</v>
      </c>
      <c r="M29" s="66">
        <v>0</v>
      </c>
      <c r="N29" s="66">
        <f t="shared" si="2"/>
        <v>0</v>
      </c>
      <c r="P29" s="66">
        <f t="shared" si="3"/>
        <v>0</v>
      </c>
      <c r="Q29" s="66">
        <f t="shared" si="4"/>
        <v>0</v>
      </c>
      <c r="R29" s="66">
        <f t="shared" si="5"/>
        <v>0</v>
      </c>
      <c r="S29" s="66">
        <f t="shared" si="6"/>
        <v>0</v>
      </c>
      <c r="T29" s="88"/>
      <c r="U29" s="66">
        <v>0</v>
      </c>
      <c r="V29" s="66">
        <v>0</v>
      </c>
      <c r="W29" s="66">
        <v>0</v>
      </c>
      <c r="X29" s="66">
        <v>0</v>
      </c>
      <c r="Y29" s="66">
        <v>0</v>
      </c>
      <c r="Z29" s="66">
        <v>0</v>
      </c>
      <c r="AA29" s="66">
        <v>0</v>
      </c>
      <c r="AB29" s="66">
        <v>0</v>
      </c>
      <c r="AC29" s="66"/>
      <c r="AD29" s="66">
        <v>0</v>
      </c>
      <c r="AE29" s="66">
        <v>0</v>
      </c>
      <c r="AF29" s="66">
        <v>0</v>
      </c>
      <c r="AG29" s="66">
        <f t="shared" si="7"/>
        <v>0</v>
      </c>
      <c r="AI29" s="66">
        <f t="shared" ref="AI29:AI37" si="24">SUM(U29:W29)</f>
        <v>0</v>
      </c>
      <c r="AJ29" s="66">
        <f t="shared" si="21"/>
        <v>0</v>
      </c>
      <c r="AK29" s="66">
        <f t="shared" si="22"/>
        <v>0</v>
      </c>
      <c r="AL29" s="66">
        <f t="shared" si="23"/>
        <v>0</v>
      </c>
      <c r="AM29" s="88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66"/>
      <c r="AY29" s="66"/>
      <c r="AZ29" s="66">
        <f t="shared" si="12"/>
        <v>0</v>
      </c>
      <c r="BB29" s="66">
        <f t="shared" si="20"/>
        <v>0</v>
      </c>
      <c r="BC29" s="66">
        <f t="shared" si="14"/>
        <v>0</v>
      </c>
      <c r="BD29" s="66">
        <f t="shared" si="15"/>
        <v>0</v>
      </c>
      <c r="BE29" s="66">
        <f t="shared" si="16"/>
        <v>0</v>
      </c>
    </row>
    <row r="30" spans="1:57" ht="15.75" outlineLevel="2">
      <c r="A30" s="39" t="s">
        <v>90</v>
      </c>
      <c r="B30" s="69">
        <v>3932.3551151899992</v>
      </c>
      <c r="C30" s="69">
        <v>4054.0696931600005</v>
      </c>
      <c r="D30" s="69">
        <v>3593.3584189400012</v>
      </c>
      <c r="E30" s="69">
        <v>4399.9484875300013</v>
      </c>
      <c r="F30" s="69">
        <v>4450.4738794899968</v>
      </c>
      <c r="G30" s="69">
        <v>4586.5859379899975</v>
      </c>
      <c r="H30" s="69">
        <v>4430.7290488399985</v>
      </c>
      <c r="I30" s="69">
        <v>4088.9566960699972</v>
      </c>
      <c r="J30" s="69">
        <v>4245.4488975600007</v>
      </c>
      <c r="K30" s="69">
        <v>4276.0538649799955</v>
      </c>
      <c r="L30" s="69">
        <v>4214.7930525500014</v>
      </c>
      <c r="M30" s="69">
        <v>4253.4919370400039</v>
      </c>
      <c r="N30" s="69">
        <f t="shared" si="2"/>
        <v>50526.265029339993</v>
      </c>
      <c r="P30" s="69">
        <f t="shared" si="3"/>
        <v>11579.783227290001</v>
      </c>
      <c r="Q30" s="69">
        <f t="shared" si="4"/>
        <v>13437.008305009995</v>
      </c>
      <c r="R30" s="69">
        <f t="shared" si="5"/>
        <v>12765.134642469995</v>
      </c>
      <c r="S30" s="69">
        <f t="shared" si="6"/>
        <v>12744.338854570002</v>
      </c>
      <c r="T30" s="90"/>
      <c r="U30" s="69">
        <v>4360.0579704999964</v>
      </c>
      <c r="V30" s="69">
        <v>4282.8116288100027</v>
      </c>
      <c r="W30" s="69">
        <v>4996.8655251500004</v>
      </c>
      <c r="X30" s="69">
        <v>5083.8140069899946</v>
      </c>
      <c r="Y30" s="69">
        <v>5635.8007777500006</v>
      </c>
      <c r="Z30" s="69">
        <v>5464.0820506500004</v>
      </c>
      <c r="AA30" s="69">
        <v>4236.3446269900105</v>
      </c>
      <c r="AB30" s="69">
        <v>4822.4511301699968</v>
      </c>
      <c r="AC30" s="69">
        <v>4476.3440370799972</v>
      </c>
      <c r="AD30" s="69">
        <v>4337.085232620002</v>
      </c>
      <c r="AE30" s="69">
        <v>4714.9436110000015</v>
      </c>
      <c r="AF30" s="69">
        <v>4745.0949514500007</v>
      </c>
      <c r="AG30" s="69">
        <f t="shared" si="7"/>
        <v>57155.695549160009</v>
      </c>
      <c r="AI30" s="69">
        <f t="shared" si="24"/>
        <v>13639.735124459999</v>
      </c>
      <c r="AJ30" s="69">
        <f t="shared" si="21"/>
        <v>16183.696835389996</v>
      </c>
      <c r="AK30" s="69">
        <f t="shared" si="22"/>
        <v>13535.139794240004</v>
      </c>
      <c r="AL30" s="69">
        <f t="shared" si="23"/>
        <v>13797.123795070003</v>
      </c>
      <c r="AM30" s="90"/>
      <c r="AN30" s="69">
        <v>5479.4873814099983</v>
      </c>
      <c r="AO30" s="69">
        <v>5251.028574009998</v>
      </c>
      <c r="AP30" s="69">
        <v>5406.4380770000025</v>
      </c>
      <c r="AQ30" s="69">
        <v>5423.0602796899966</v>
      </c>
      <c r="AR30" s="69">
        <v>5223.4733109999925</v>
      </c>
      <c r="AS30" s="69">
        <v>5128.6831543000098</v>
      </c>
      <c r="AT30" s="69"/>
      <c r="AU30" s="69"/>
      <c r="AV30" s="69"/>
      <c r="AW30" s="69"/>
      <c r="AX30" s="69"/>
      <c r="AY30" s="69"/>
      <c r="AZ30" s="69">
        <f t="shared" si="12"/>
        <v>31912.17077741</v>
      </c>
      <c r="BB30" s="69">
        <f t="shared" si="20"/>
        <v>16136.954032419999</v>
      </c>
      <c r="BC30" s="69">
        <f t="shared" si="14"/>
        <v>15775.216744989999</v>
      </c>
      <c r="BD30" s="69">
        <f t="shared" si="15"/>
        <v>0</v>
      </c>
      <c r="BE30" s="69">
        <f t="shared" si="16"/>
        <v>0</v>
      </c>
    </row>
    <row r="31" spans="1:57" outlineLevel="2">
      <c r="A31" s="37" t="s">
        <v>91</v>
      </c>
      <c r="B31" s="70">
        <v>3781.14561968</v>
      </c>
      <c r="C31" s="70">
        <v>3893.2510590000011</v>
      </c>
      <c r="D31" s="70">
        <v>3459.8813690000015</v>
      </c>
      <c r="E31" s="70">
        <v>4260.9967950000009</v>
      </c>
      <c r="F31" s="70">
        <v>4309.8196609999968</v>
      </c>
      <c r="G31" s="70">
        <v>4433.6356429999969</v>
      </c>
      <c r="H31" s="70">
        <v>4310.3062949999985</v>
      </c>
      <c r="I31" s="70">
        <v>3930.3495069999972</v>
      </c>
      <c r="J31" s="70">
        <v>4008.2406970000002</v>
      </c>
      <c r="K31" s="70">
        <v>4107.1190269999952</v>
      </c>
      <c r="L31" s="70">
        <v>4050.9831970000023</v>
      </c>
      <c r="M31" s="70">
        <v>4031.1639250000044</v>
      </c>
      <c r="N31" s="70">
        <f t="shared" si="2"/>
        <v>48576.892794679996</v>
      </c>
      <c r="P31" s="66">
        <f t="shared" si="3"/>
        <v>11134.278047680004</v>
      </c>
      <c r="Q31" s="66">
        <f t="shared" si="4"/>
        <v>13004.452098999995</v>
      </c>
      <c r="R31" s="66">
        <f t="shared" si="5"/>
        <v>12248.896498999995</v>
      </c>
      <c r="S31" s="66">
        <f t="shared" si="6"/>
        <v>12189.266149000003</v>
      </c>
      <c r="T31" s="88"/>
      <c r="U31" s="70">
        <v>4163.7924959999964</v>
      </c>
      <c r="V31" s="70">
        <v>4099.249775000003</v>
      </c>
      <c r="W31" s="70">
        <v>4805.95436445</v>
      </c>
      <c r="X31" s="70">
        <v>4905.9455049999951</v>
      </c>
      <c r="Y31" s="70">
        <v>5465.7722580000009</v>
      </c>
      <c r="Z31" s="70">
        <v>5294.3939587300001</v>
      </c>
      <c r="AA31" s="70">
        <v>4080.8667863000105</v>
      </c>
      <c r="AB31" s="70">
        <v>4667.9145532799967</v>
      </c>
      <c r="AC31" s="70">
        <v>4324.2828318499969</v>
      </c>
      <c r="AD31" s="70">
        <v>4197.118129620002</v>
      </c>
      <c r="AE31" s="70">
        <v>4557.1751180000019</v>
      </c>
      <c r="AF31" s="70">
        <v>4589.5403027600005</v>
      </c>
      <c r="AG31" s="70">
        <f t="shared" si="7"/>
        <v>55152.006078990002</v>
      </c>
      <c r="AI31" s="66">
        <f t="shared" si="24"/>
        <v>13068.996635449999</v>
      </c>
      <c r="AJ31" s="66">
        <f t="shared" si="21"/>
        <v>15666.111721729998</v>
      </c>
      <c r="AK31" s="66">
        <f t="shared" si="22"/>
        <v>13073.064171430004</v>
      </c>
      <c r="AL31" s="66">
        <f t="shared" si="23"/>
        <v>13343.833550380004</v>
      </c>
      <c r="AM31" s="88"/>
      <c r="AN31" s="70">
        <v>5319.3868354099977</v>
      </c>
      <c r="AO31" s="70">
        <v>5102.0846139999976</v>
      </c>
      <c r="AP31" s="70">
        <v>5242.9471580000027</v>
      </c>
      <c r="AQ31" s="70">
        <v>5265.6373586999962</v>
      </c>
      <c r="AR31" s="70">
        <v>5061.5807929999928</v>
      </c>
      <c r="AS31" s="70">
        <v>4971.0790103000099</v>
      </c>
      <c r="AT31" s="70"/>
      <c r="AU31" s="70"/>
      <c r="AV31" s="70"/>
      <c r="AW31" s="70"/>
      <c r="AX31" s="70"/>
      <c r="AY31" s="70"/>
      <c r="AZ31" s="70">
        <f t="shared" si="12"/>
        <v>30962.715769409999</v>
      </c>
      <c r="BB31" s="66">
        <f t="shared" si="20"/>
        <v>15664.418607409998</v>
      </c>
      <c r="BC31" s="66">
        <f t="shared" si="14"/>
        <v>15298.297161999999</v>
      </c>
      <c r="BD31" s="66">
        <f t="shared" si="15"/>
        <v>0</v>
      </c>
      <c r="BE31" s="66">
        <f t="shared" si="16"/>
        <v>0</v>
      </c>
    </row>
    <row r="32" spans="1:57" outlineLevel="2">
      <c r="A32" s="37" t="s">
        <v>92</v>
      </c>
      <c r="B32" s="66">
        <v>151.20949550999944</v>
      </c>
      <c r="C32" s="66">
        <v>160.81863415999942</v>
      </c>
      <c r="D32" s="66">
        <v>133.47704993999986</v>
      </c>
      <c r="E32" s="66">
        <v>138.95169253000003</v>
      </c>
      <c r="F32" s="66">
        <v>140.65421849000018</v>
      </c>
      <c r="G32" s="66">
        <v>152.95029499000066</v>
      </c>
      <c r="H32" s="66">
        <v>120.42275384000003</v>
      </c>
      <c r="I32" s="66">
        <v>158.60718906999989</v>
      </c>
      <c r="J32" s="66">
        <v>237.20820056000005</v>
      </c>
      <c r="K32" s="66">
        <v>168.93483797999994</v>
      </c>
      <c r="L32" s="66">
        <v>163.80985554999961</v>
      </c>
      <c r="M32" s="66">
        <v>222.32801203999992</v>
      </c>
      <c r="N32" s="66">
        <f t="shared" si="2"/>
        <v>1949.3722346599989</v>
      </c>
      <c r="P32" s="66">
        <f t="shared" si="3"/>
        <v>445.50517960999872</v>
      </c>
      <c r="Q32" s="66">
        <f t="shared" si="4"/>
        <v>432.55620601000089</v>
      </c>
      <c r="R32" s="66">
        <f t="shared" si="5"/>
        <v>516.23814346999995</v>
      </c>
      <c r="S32" s="66">
        <f t="shared" si="6"/>
        <v>555.07270556999947</v>
      </c>
      <c r="T32" s="88"/>
      <c r="U32" s="66">
        <v>196.26547450000015</v>
      </c>
      <c r="V32" s="66">
        <v>183.56185381000012</v>
      </c>
      <c r="W32" s="66">
        <v>190.91116070000001</v>
      </c>
      <c r="X32" s="66">
        <v>177.86850198999952</v>
      </c>
      <c r="Y32" s="66">
        <v>170.0285197499997</v>
      </c>
      <c r="Z32" s="66">
        <v>169.68809191999992</v>
      </c>
      <c r="AA32" s="66">
        <v>155.47784068999985</v>
      </c>
      <c r="AB32" s="66">
        <v>154.53657688999976</v>
      </c>
      <c r="AC32" s="66">
        <v>152.06120522999984</v>
      </c>
      <c r="AD32" s="66">
        <v>139.96710299999972</v>
      </c>
      <c r="AE32" s="66">
        <v>157.76849299999978</v>
      </c>
      <c r="AF32" s="66">
        <v>155.55464868999979</v>
      </c>
      <c r="AG32" s="66">
        <f t="shared" si="7"/>
        <v>2003.6894701699985</v>
      </c>
      <c r="AI32" s="66">
        <f t="shared" si="24"/>
        <v>570.73848901000031</v>
      </c>
      <c r="AJ32" s="66">
        <f t="shared" si="21"/>
        <v>517.58511365999914</v>
      </c>
      <c r="AK32" s="66">
        <f t="shared" si="22"/>
        <v>462.07562280999946</v>
      </c>
      <c r="AL32" s="66">
        <f t="shared" si="23"/>
        <v>453.29024468999933</v>
      </c>
      <c r="AM32" s="88"/>
      <c r="AN32" s="66">
        <v>160.10054600000015</v>
      </c>
      <c r="AO32" s="66">
        <v>148.94396001000013</v>
      </c>
      <c r="AP32" s="66">
        <v>163.4909190000001</v>
      </c>
      <c r="AQ32" s="66">
        <v>157.42292099000036</v>
      </c>
      <c r="AR32" s="66">
        <v>161.89251800000005</v>
      </c>
      <c r="AS32" s="66">
        <v>157.60414399999999</v>
      </c>
      <c r="AT32" s="66"/>
      <c r="AU32" s="66"/>
      <c r="AV32" s="66"/>
      <c r="AW32" s="66"/>
      <c r="AX32" s="66"/>
      <c r="AY32" s="66"/>
      <c r="AZ32" s="66">
        <f t="shared" si="12"/>
        <v>949.45500800000093</v>
      </c>
      <c r="BB32" s="66">
        <f t="shared" si="20"/>
        <v>472.53542501000038</v>
      </c>
      <c r="BC32" s="66">
        <f t="shared" si="14"/>
        <v>476.91958299000044</v>
      </c>
      <c r="BD32" s="66">
        <f t="shared" si="15"/>
        <v>0</v>
      </c>
      <c r="BE32" s="66">
        <f t="shared" si="16"/>
        <v>0</v>
      </c>
    </row>
    <row r="33" spans="1:57" outlineLevel="2">
      <c r="A33" s="41"/>
      <c r="B33" s="66"/>
      <c r="C33" s="66"/>
      <c r="D33" s="66"/>
      <c r="E33" s="66"/>
      <c r="F33" s="66"/>
      <c r="G33" s="66">
        <v>0</v>
      </c>
      <c r="H33" s="66">
        <v>0</v>
      </c>
      <c r="I33" s="66">
        <v>0</v>
      </c>
      <c r="J33" s="66">
        <v>0</v>
      </c>
      <c r="K33" s="66">
        <v>0</v>
      </c>
      <c r="L33" s="66">
        <v>0</v>
      </c>
      <c r="M33" s="66">
        <v>0</v>
      </c>
      <c r="N33" s="66">
        <f t="shared" si="2"/>
        <v>0</v>
      </c>
      <c r="P33" s="66">
        <f t="shared" si="3"/>
        <v>0</v>
      </c>
      <c r="Q33" s="66">
        <f t="shared" si="4"/>
        <v>0</v>
      </c>
      <c r="R33" s="66">
        <f t="shared" si="5"/>
        <v>0</v>
      </c>
      <c r="S33" s="66">
        <f t="shared" si="6"/>
        <v>0</v>
      </c>
      <c r="T33" s="88"/>
      <c r="U33" s="66">
        <v>0</v>
      </c>
      <c r="V33" s="66">
        <v>0</v>
      </c>
      <c r="W33" s="66">
        <v>0</v>
      </c>
      <c r="X33" s="66">
        <v>0</v>
      </c>
      <c r="Y33" s="66">
        <v>0</v>
      </c>
      <c r="Z33" s="66">
        <v>0</v>
      </c>
      <c r="AA33" s="66">
        <v>0</v>
      </c>
      <c r="AB33" s="66">
        <v>0</v>
      </c>
      <c r="AC33" s="66"/>
      <c r="AD33" s="66">
        <v>0</v>
      </c>
      <c r="AE33" s="66">
        <v>0</v>
      </c>
      <c r="AF33" s="66">
        <v>0</v>
      </c>
      <c r="AG33" s="66">
        <f t="shared" si="7"/>
        <v>0</v>
      </c>
      <c r="AI33" s="66">
        <f t="shared" si="24"/>
        <v>0</v>
      </c>
      <c r="AJ33" s="66">
        <f t="shared" si="21"/>
        <v>0</v>
      </c>
      <c r="AK33" s="66">
        <f t="shared" si="22"/>
        <v>0</v>
      </c>
      <c r="AL33" s="66">
        <f t="shared" si="23"/>
        <v>0</v>
      </c>
      <c r="AM33" s="88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>
        <f t="shared" si="12"/>
        <v>0</v>
      </c>
      <c r="BB33" s="66">
        <f t="shared" si="20"/>
        <v>0</v>
      </c>
      <c r="BC33" s="66">
        <f t="shared" si="14"/>
        <v>0</v>
      </c>
      <c r="BD33" s="66">
        <f t="shared" si="15"/>
        <v>0</v>
      </c>
      <c r="BE33" s="66">
        <f t="shared" si="16"/>
        <v>0</v>
      </c>
    </row>
    <row r="34" spans="1:57" ht="15.75" outlineLevel="2">
      <c r="A34" s="39" t="s">
        <v>93</v>
      </c>
      <c r="B34" s="69">
        <v>26289.538465839996</v>
      </c>
      <c r="C34" s="69">
        <v>24545</v>
      </c>
      <c r="D34" s="69">
        <v>25661.692753589992</v>
      </c>
      <c r="E34" s="69">
        <v>27500.238620370004</v>
      </c>
      <c r="F34" s="69">
        <v>25516.777111530006</v>
      </c>
      <c r="G34" s="69">
        <v>25706.007147840002</v>
      </c>
      <c r="H34" s="69">
        <v>25923.805137450006</v>
      </c>
      <c r="I34" s="69">
        <v>24816.878849909983</v>
      </c>
      <c r="J34" s="69">
        <v>28002.803645569991</v>
      </c>
      <c r="K34" s="69">
        <v>27296.639651150013</v>
      </c>
      <c r="L34" s="69">
        <v>29986.37112733</v>
      </c>
      <c r="M34" s="69">
        <v>27022.747478899997</v>
      </c>
      <c r="N34" s="69">
        <f t="shared" si="2"/>
        <v>318268.49998948001</v>
      </c>
      <c r="P34" s="69">
        <f t="shared" si="3"/>
        <v>76496.231219429988</v>
      </c>
      <c r="Q34" s="69">
        <f t="shared" si="4"/>
        <v>78723.02287974002</v>
      </c>
      <c r="R34" s="69">
        <f t="shared" si="5"/>
        <v>78743.487632929988</v>
      </c>
      <c r="S34" s="69">
        <f t="shared" si="6"/>
        <v>84305.758257380017</v>
      </c>
      <c r="T34" s="90"/>
      <c r="U34" s="69">
        <v>28311.574255979984</v>
      </c>
      <c r="V34" s="69">
        <v>29353.446325460001</v>
      </c>
      <c r="W34" s="69">
        <v>28158.314565109999</v>
      </c>
      <c r="X34" s="69">
        <v>27351.825072650001</v>
      </c>
      <c r="Y34" s="69">
        <v>27973.358252439979</v>
      </c>
      <c r="Z34" s="69">
        <v>30195.333503199996</v>
      </c>
      <c r="AA34" s="69">
        <v>29054.417906839997</v>
      </c>
      <c r="AB34" s="69">
        <v>26931.702127789998</v>
      </c>
      <c r="AC34" s="69">
        <v>27495.762658060012</v>
      </c>
      <c r="AD34" s="69">
        <v>27131.039567060012</v>
      </c>
      <c r="AE34" s="69">
        <v>27138.026140000002</v>
      </c>
      <c r="AF34" s="69">
        <v>29383.144232919996</v>
      </c>
      <c r="AG34" s="69">
        <f t="shared" si="7"/>
        <v>338477.94460751</v>
      </c>
      <c r="AI34" s="69">
        <f t="shared" si="24"/>
        <v>85823.335146549973</v>
      </c>
      <c r="AJ34" s="69">
        <f t="shared" si="21"/>
        <v>85520.516828289983</v>
      </c>
      <c r="AK34" s="69">
        <f t="shared" si="22"/>
        <v>83481.882692690007</v>
      </c>
      <c r="AL34" s="69">
        <f t="shared" si="23"/>
        <v>83652.209939980006</v>
      </c>
      <c r="AM34" s="90"/>
      <c r="AN34" s="69">
        <v>29976.326528230002</v>
      </c>
      <c r="AO34" s="69">
        <v>25750.611607080002</v>
      </c>
      <c r="AP34" s="69">
        <v>26621.695344560023</v>
      </c>
      <c r="AQ34" s="69">
        <v>31378.764168059992</v>
      </c>
      <c r="AR34" s="69">
        <v>30807.400172799993</v>
      </c>
      <c r="AS34" s="69">
        <v>28931.3362552</v>
      </c>
      <c r="AT34" s="69"/>
      <c r="AU34" s="69"/>
      <c r="AV34" s="69"/>
      <c r="AW34" s="69"/>
      <c r="AX34" s="69"/>
      <c r="AY34" s="69"/>
      <c r="AZ34" s="69">
        <f t="shared" si="12"/>
        <v>173466.13407593002</v>
      </c>
      <c r="BB34" s="69">
        <f t="shared" si="20"/>
        <v>82348.633479870026</v>
      </c>
      <c r="BC34" s="69">
        <f t="shared" si="14"/>
        <v>91117.500596059981</v>
      </c>
      <c r="BD34" s="69">
        <f t="shared" si="15"/>
        <v>0</v>
      </c>
      <c r="BE34" s="69">
        <f t="shared" si="16"/>
        <v>0</v>
      </c>
    </row>
    <row r="35" spans="1:57" outlineLevel="2">
      <c r="A35" s="37" t="s">
        <v>94</v>
      </c>
      <c r="B35" s="70">
        <v>693.37589559999924</v>
      </c>
      <c r="C35" s="70">
        <v>684.30876225000213</v>
      </c>
      <c r="D35" s="70">
        <v>996.65423606999889</v>
      </c>
      <c r="E35" s="70">
        <v>956.70958059999816</v>
      </c>
      <c r="F35" s="70">
        <v>801.50736699000038</v>
      </c>
      <c r="G35" s="70">
        <v>928.5975258600007</v>
      </c>
      <c r="H35" s="70">
        <v>680.7394329200024</v>
      </c>
      <c r="I35" s="70">
        <v>207.89173707999896</v>
      </c>
      <c r="J35" s="70">
        <v>856.47768356999961</v>
      </c>
      <c r="K35" s="70">
        <v>832.767149660001</v>
      </c>
      <c r="L35" s="70">
        <v>856.56393274000106</v>
      </c>
      <c r="M35" s="70">
        <v>912.4742287900001</v>
      </c>
      <c r="N35" s="70">
        <f t="shared" si="2"/>
        <v>9408.0675321300023</v>
      </c>
      <c r="P35" s="66">
        <f t="shared" si="3"/>
        <v>2374.3388939200004</v>
      </c>
      <c r="Q35" s="66">
        <f t="shared" si="4"/>
        <v>2686.8144734499992</v>
      </c>
      <c r="R35" s="66">
        <f t="shared" si="5"/>
        <v>1745.108853570001</v>
      </c>
      <c r="S35" s="66">
        <f t="shared" si="6"/>
        <v>2601.8053111900022</v>
      </c>
      <c r="T35" s="88"/>
      <c r="U35" s="70">
        <v>675.9726816399982</v>
      </c>
      <c r="V35" s="70">
        <v>757.44408854999995</v>
      </c>
      <c r="W35" s="70">
        <v>771.12467060999779</v>
      </c>
      <c r="X35" s="70">
        <v>601.8070624100003</v>
      </c>
      <c r="Y35" s="70">
        <v>513.64320600000065</v>
      </c>
      <c r="Z35" s="70">
        <v>525.04837063000014</v>
      </c>
      <c r="AA35" s="70">
        <v>583.74139656000023</v>
      </c>
      <c r="AB35" s="70">
        <v>591.59199834999981</v>
      </c>
      <c r="AC35" s="70">
        <v>396.00805199999849</v>
      </c>
      <c r="AD35" s="70">
        <v>544.63146363000067</v>
      </c>
      <c r="AE35" s="70">
        <v>527.2902077</v>
      </c>
      <c r="AF35" s="70">
        <v>576.68613549999941</v>
      </c>
      <c r="AG35" s="70">
        <f t="shared" si="7"/>
        <v>7064.9893335799943</v>
      </c>
      <c r="AI35" s="66">
        <f t="shared" si="24"/>
        <v>2204.5414407999961</v>
      </c>
      <c r="AJ35" s="66">
        <f t="shared" si="21"/>
        <v>1640.4986390400011</v>
      </c>
      <c r="AK35" s="66">
        <f t="shared" si="22"/>
        <v>1571.3414469099987</v>
      </c>
      <c r="AL35" s="66">
        <f t="shared" si="23"/>
        <v>1648.6078068300001</v>
      </c>
      <c r="AM35" s="88"/>
      <c r="AN35" s="70">
        <v>405.05399100000005</v>
      </c>
      <c r="AO35" s="70">
        <v>388.55711085000036</v>
      </c>
      <c r="AP35" s="70">
        <v>191.94915599999922</v>
      </c>
      <c r="AQ35" s="70">
        <v>330.8755780599991</v>
      </c>
      <c r="AR35" s="70">
        <v>419.02052599999905</v>
      </c>
      <c r="AS35" s="70">
        <v>223.30198300000001</v>
      </c>
      <c r="AT35" s="70"/>
      <c r="AU35" s="70"/>
      <c r="AV35" s="70"/>
      <c r="AW35" s="70"/>
      <c r="AX35" s="70"/>
      <c r="AY35" s="70"/>
      <c r="AZ35" s="70">
        <f t="shared" si="12"/>
        <v>1958.758344909998</v>
      </c>
      <c r="BB35" s="66">
        <f t="shared" si="20"/>
        <v>985.56025784999963</v>
      </c>
      <c r="BC35" s="66">
        <f t="shared" si="14"/>
        <v>973.19808705999822</v>
      </c>
      <c r="BD35" s="66">
        <f t="shared" si="15"/>
        <v>0</v>
      </c>
      <c r="BE35" s="66">
        <f t="shared" si="16"/>
        <v>0</v>
      </c>
    </row>
    <row r="36" spans="1:57" outlineLevel="2">
      <c r="A36" s="37" t="s">
        <v>95</v>
      </c>
      <c r="B36" s="70">
        <v>584.33726746999992</v>
      </c>
      <c r="C36" s="70">
        <v>624.40280908999978</v>
      </c>
      <c r="D36" s="70">
        <v>406.04253970999991</v>
      </c>
      <c r="E36" s="70">
        <v>444.01466070999993</v>
      </c>
      <c r="F36" s="70">
        <v>410.95000278000003</v>
      </c>
      <c r="G36" s="70">
        <v>358.73143901000003</v>
      </c>
      <c r="H36" s="70">
        <v>419.71706755000014</v>
      </c>
      <c r="I36" s="70">
        <v>299.01165305000006</v>
      </c>
      <c r="J36" s="70">
        <v>452.75403557000004</v>
      </c>
      <c r="K36" s="70">
        <v>384.95124750999992</v>
      </c>
      <c r="L36" s="70">
        <v>699.1106091800001</v>
      </c>
      <c r="M36" s="70">
        <v>386.79683744000005</v>
      </c>
      <c r="N36" s="70">
        <f t="shared" si="2"/>
        <v>5470.8201690699998</v>
      </c>
      <c r="P36" s="66">
        <f t="shared" si="3"/>
        <v>1614.7826162699994</v>
      </c>
      <c r="Q36" s="66">
        <f t="shared" si="4"/>
        <v>1213.6961025000001</v>
      </c>
      <c r="R36" s="66">
        <f t="shared" si="5"/>
        <v>1171.4827561700004</v>
      </c>
      <c r="S36" s="66">
        <f t="shared" si="6"/>
        <v>1470.85869413</v>
      </c>
      <c r="T36" s="88"/>
      <c r="U36" s="70">
        <v>442.46218533999991</v>
      </c>
      <c r="V36" s="70">
        <v>1509.7226145500001</v>
      </c>
      <c r="W36" s="70">
        <v>644.69623579000006</v>
      </c>
      <c r="X36" s="70">
        <v>546.95936004000055</v>
      </c>
      <c r="Y36" s="70">
        <v>487.34512487999973</v>
      </c>
      <c r="Z36" s="70">
        <v>412.50314229000026</v>
      </c>
      <c r="AA36" s="70">
        <v>379.56356326999992</v>
      </c>
      <c r="AB36" s="70">
        <v>390.94990308000007</v>
      </c>
      <c r="AC36" s="70">
        <v>364.43991047000003</v>
      </c>
      <c r="AD36" s="70">
        <v>311.30368385000008</v>
      </c>
      <c r="AE36" s="70">
        <v>138.12665670000001</v>
      </c>
      <c r="AF36" s="70">
        <v>130.81666365000004</v>
      </c>
      <c r="AG36" s="70">
        <f t="shared" si="7"/>
        <v>5758.8890439100005</v>
      </c>
      <c r="AI36" s="66">
        <f t="shared" si="24"/>
        <v>2596.88103568</v>
      </c>
      <c r="AJ36" s="66">
        <f t="shared" si="21"/>
        <v>1446.8076272100006</v>
      </c>
      <c r="AK36" s="66">
        <f t="shared" si="22"/>
        <v>1134.9533768200001</v>
      </c>
      <c r="AL36" s="66">
        <f t="shared" si="23"/>
        <v>580.24700420000011</v>
      </c>
      <c r="AM36" s="88"/>
      <c r="AN36" s="70">
        <v>132.45955799999999</v>
      </c>
      <c r="AO36" s="70">
        <v>135.24661010000003</v>
      </c>
      <c r="AP36" s="70">
        <v>116.61559756999998</v>
      </c>
      <c r="AQ36" s="70">
        <v>569.44007401000022</v>
      </c>
      <c r="AR36" s="70">
        <v>173.58087190999998</v>
      </c>
      <c r="AS36" s="70">
        <v>224.35874294999999</v>
      </c>
      <c r="AT36" s="70"/>
      <c r="AU36" s="70"/>
      <c r="AV36" s="70"/>
      <c r="AW36" s="70"/>
      <c r="AX36" s="70"/>
      <c r="AY36" s="70"/>
      <c r="AZ36" s="70">
        <f t="shared" si="12"/>
        <v>1351.7014545400002</v>
      </c>
      <c r="BB36" s="66">
        <f t="shared" si="20"/>
        <v>384.32176566999999</v>
      </c>
      <c r="BC36" s="66">
        <f t="shared" si="14"/>
        <v>967.37968887000022</v>
      </c>
      <c r="BD36" s="66">
        <f t="shared" si="15"/>
        <v>0</v>
      </c>
      <c r="BE36" s="66">
        <f t="shared" si="16"/>
        <v>0</v>
      </c>
    </row>
    <row r="37" spans="1:57" outlineLevel="2">
      <c r="A37" s="37" t="s">
        <v>96</v>
      </c>
      <c r="B37" s="66">
        <v>403.44326573999962</v>
      </c>
      <c r="C37" s="66">
        <v>321.66688312000002</v>
      </c>
      <c r="D37" s="66">
        <v>305.5824606299999</v>
      </c>
      <c r="E37" s="66">
        <v>335.72205431999959</v>
      </c>
      <c r="F37" s="66">
        <v>316.15678536999945</v>
      </c>
      <c r="G37" s="66">
        <v>476.94756017999947</v>
      </c>
      <c r="H37" s="66">
        <v>538.34570082000027</v>
      </c>
      <c r="I37" s="66">
        <v>577.18925988000024</v>
      </c>
      <c r="J37" s="66">
        <v>700.89974646000064</v>
      </c>
      <c r="K37" s="66">
        <v>573.38056714999993</v>
      </c>
      <c r="L37" s="66">
        <v>1008.2958174300004</v>
      </c>
      <c r="M37" s="66">
        <v>1576.4534186000019</v>
      </c>
      <c r="N37" s="66">
        <f t="shared" si="2"/>
        <v>7134.0835197000015</v>
      </c>
      <c r="P37" s="66">
        <f t="shared" si="3"/>
        <v>1030.6926094899995</v>
      </c>
      <c r="Q37" s="66">
        <f t="shared" si="4"/>
        <v>1128.8263998699986</v>
      </c>
      <c r="R37" s="66">
        <f t="shared" si="5"/>
        <v>1816.4347071600012</v>
      </c>
      <c r="S37" s="66">
        <f t="shared" si="6"/>
        <v>3158.1298031800025</v>
      </c>
      <c r="T37" s="88"/>
      <c r="U37" s="66">
        <v>2039.314951620001</v>
      </c>
      <c r="V37" s="66">
        <v>1858.3728611600052</v>
      </c>
      <c r="W37" s="66">
        <v>1544.7539923400034</v>
      </c>
      <c r="X37" s="66">
        <v>1809.3183814700024</v>
      </c>
      <c r="Y37" s="66">
        <v>1242.4352889999975</v>
      </c>
      <c r="Z37" s="66">
        <v>4188.5943952199996</v>
      </c>
      <c r="AA37" s="66">
        <v>1981.4629983999985</v>
      </c>
      <c r="AB37" s="66">
        <v>1741.2003582100033</v>
      </c>
      <c r="AC37" s="66">
        <v>1776.6147969500014</v>
      </c>
      <c r="AD37" s="66">
        <v>1858.1947535600016</v>
      </c>
      <c r="AE37" s="66">
        <v>1666.079113</v>
      </c>
      <c r="AF37" s="66">
        <v>1946.3015168599964</v>
      </c>
      <c r="AG37" s="66">
        <f t="shared" si="7"/>
        <v>23652.643407790008</v>
      </c>
      <c r="AI37" s="66">
        <f t="shared" si="24"/>
        <v>5442.44180512001</v>
      </c>
      <c r="AJ37" s="66">
        <f t="shared" si="21"/>
        <v>7240.3480656899992</v>
      </c>
      <c r="AK37" s="66">
        <f t="shared" si="22"/>
        <v>5499.2781535600034</v>
      </c>
      <c r="AL37" s="66">
        <f t="shared" si="23"/>
        <v>5470.5753834199986</v>
      </c>
      <c r="AM37" s="88"/>
      <c r="AN37" s="66">
        <v>1975.7907095800017</v>
      </c>
      <c r="AO37" s="66">
        <v>1904.9609025500001</v>
      </c>
      <c r="AP37" s="66">
        <v>1971.8607955700002</v>
      </c>
      <c r="AQ37" s="66">
        <v>2071.1402481699988</v>
      </c>
      <c r="AR37" s="66">
        <v>2102.0632465300014</v>
      </c>
      <c r="AS37" s="66">
        <v>2232.8511111500002</v>
      </c>
      <c r="AT37" s="66"/>
      <c r="AU37" s="66"/>
      <c r="AV37" s="66"/>
      <c r="AW37" s="66"/>
      <c r="AX37" s="66"/>
      <c r="AY37" s="66"/>
      <c r="AZ37" s="66">
        <f t="shared" si="12"/>
        <v>12258.667013550003</v>
      </c>
      <c r="BB37" s="66">
        <f t="shared" si="20"/>
        <v>5852.6124077000022</v>
      </c>
      <c r="BC37" s="66">
        <f t="shared" si="14"/>
        <v>6406.0546058500004</v>
      </c>
      <c r="BD37" s="66">
        <f t="shared" si="15"/>
        <v>0</v>
      </c>
      <c r="BE37" s="66">
        <f t="shared" si="16"/>
        <v>0</v>
      </c>
    </row>
    <row r="38" spans="1:57" outlineLevel="2">
      <c r="A38" s="37" t="s">
        <v>97</v>
      </c>
      <c r="B38" s="70">
        <v>3162.9218488599945</v>
      </c>
      <c r="C38" s="70">
        <v>3667.2394678500086</v>
      </c>
      <c r="D38" s="70">
        <v>3991.3345673800018</v>
      </c>
      <c r="E38" s="70">
        <v>5731.5169424800051</v>
      </c>
      <c r="F38" s="70">
        <v>3603.6304273500073</v>
      </c>
      <c r="G38" s="70">
        <v>3208.794848640001</v>
      </c>
      <c r="H38" s="70">
        <v>3144.554983080001</v>
      </c>
      <c r="I38" s="70">
        <v>3255.4953700500037</v>
      </c>
      <c r="J38" s="70">
        <v>3758.2032485299924</v>
      </c>
      <c r="K38" s="70">
        <v>3248.4124639100028</v>
      </c>
      <c r="L38" s="70">
        <v>5339.9913028399988</v>
      </c>
      <c r="M38" s="70">
        <v>3113.4837477399997</v>
      </c>
      <c r="N38" s="70">
        <f t="shared" si="2"/>
        <v>45225.579218710016</v>
      </c>
      <c r="P38" s="66">
        <f t="shared" ref="P38:P69" si="25">SUM(B38:D38)</f>
        <v>10821.495884090005</v>
      </c>
      <c r="Q38" s="66">
        <f t="shared" si="4"/>
        <v>12543.942218470012</v>
      </c>
      <c r="R38" s="66">
        <f t="shared" si="5"/>
        <v>10158.253601659997</v>
      </c>
      <c r="S38" s="66">
        <f t="shared" si="6"/>
        <v>11701.887514490001</v>
      </c>
      <c r="T38" s="88"/>
      <c r="U38" s="70">
        <v>3995.2272786199951</v>
      </c>
      <c r="V38" s="70">
        <v>3479.8250363400039</v>
      </c>
      <c r="W38" s="70">
        <v>3786.3802291199963</v>
      </c>
      <c r="X38" s="70">
        <v>3939.4550126500026</v>
      </c>
      <c r="Y38" s="70">
        <v>4220.4075962599954</v>
      </c>
      <c r="Z38" s="70">
        <v>3655.1828914300013</v>
      </c>
      <c r="AA38" s="70">
        <v>4322.269701170002</v>
      </c>
      <c r="AB38" s="70">
        <v>3560.5885472300006</v>
      </c>
      <c r="AC38" s="70">
        <v>4026.1073196399957</v>
      </c>
      <c r="AD38" s="70">
        <v>3925.8213658200029</v>
      </c>
      <c r="AE38" s="70">
        <v>4407.7180719999997</v>
      </c>
      <c r="AF38" s="70">
        <v>3945.4794216100049</v>
      </c>
      <c r="AG38" s="70">
        <f t="shared" si="7"/>
        <v>47264.462471890009</v>
      </c>
      <c r="AI38" s="66">
        <f t="shared" ref="AI38:AI69" si="26">SUM(U38:W38)</f>
        <v>11261.432544079995</v>
      </c>
      <c r="AJ38" s="66">
        <f t="shared" si="21"/>
        <v>11815.045500339998</v>
      </c>
      <c r="AK38" s="66">
        <f t="shared" si="22"/>
        <v>11908.965568039999</v>
      </c>
      <c r="AL38" s="66">
        <f t="shared" si="23"/>
        <v>12279.018859430009</v>
      </c>
      <c r="AM38" s="88"/>
      <c r="AN38" s="70">
        <v>3467.8549932799979</v>
      </c>
      <c r="AO38" s="70">
        <v>2978.7877067999998</v>
      </c>
      <c r="AP38" s="70">
        <v>2356.3863625400013</v>
      </c>
      <c r="AQ38" s="70">
        <v>3771.9774606799974</v>
      </c>
      <c r="AR38" s="70">
        <v>3612.5081312699995</v>
      </c>
      <c r="AS38" s="70">
        <v>3934.7730572400001</v>
      </c>
      <c r="AT38" s="70"/>
      <c r="AU38" s="70"/>
      <c r="AV38" s="70"/>
      <c r="AW38" s="70"/>
      <c r="AX38" s="70"/>
      <c r="AY38" s="70"/>
      <c r="AZ38" s="70">
        <f t="shared" si="12"/>
        <v>20122.287711809993</v>
      </c>
      <c r="BB38" s="66">
        <f t="shared" ref="BB38:BB69" si="27">SUM(AN38:AP38)</f>
        <v>8803.0290626199985</v>
      </c>
      <c r="BC38" s="66">
        <f t="shared" si="14"/>
        <v>11319.258649189997</v>
      </c>
      <c r="BD38" s="66">
        <f t="shared" si="15"/>
        <v>0</v>
      </c>
      <c r="BE38" s="66">
        <f t="shared" si="16"/>
        <v>0</v>
      </c>
    </row>
    <row r="39" spans="1:57" outlineLevel="2">
      <c r="A39" s="37" t="s">
        <v>98</v>
      </c>
      <c r="B39" s="70">
        <v>4735.3584845899986</v>
      </c>
      <c r="C39" s="70">
        <v>4454.3888556000129</v>
      </c>
      <c r="D39" s="70">
        <v>4555.2555123599905</v>
      </c>
      <c r="E39" s="70">
        <v>4245.4396198500035</v>
      </c>
      <c r="F39" s="70">
        <v>4138.2597224800011</v>
      </c>
      <c r="G39" s="70">
        <v>4214.1050960499979</v>
      </c>
      <c r="H39" s="70">
        <v>4298.6581134400039</v>
      </c>
      <c r="I39" s="70">
        <v>4110.991129709997</v>
      </c>
      <c r="J39" s="70">
        <v>4637.3566897400078</v>
      </c>
      <c r="K39" s="70">
        <v>4777.884885780004</v>
      </c>
      <c r="L39" s="70">
        <v>3947.5607335299983</v>
      </c>
      <c r="M39" s="70">
        <v>4004.7649103800049</v>
      </c>
      <c r="N39" s="70">
        <f t="shared" si="2"/>
        <v>52120.023753510024</v>
      </c>
      <c r="P39" s="66">
        <f t="shared" si="25"/>
        <v>13745.002852550002</v>
      </c>
      <c r="Q39" s="66">
        <f t="shared" si="4"/>
        <v>12597.804438380002</v>
      </c>
      <c r="R39" s="66">
        <f t="shared" si="5"/>
        <v>13047.00593289001</v>
      </c>
      <c r="S39" s="66">
        <f t="shared" si="6"/>
        <v>12730.210529690006</v>
      </c>
      <c r="T39" s="88"/>
      <c r="U39" s="70">
        <v>4273.3853349899928</v>
      </c>
      <c r="V39" s="70">
        <v>5287.7087369899991</v>
      </c>
      <c r="W39" s="70">
        <v>4305.314152400013</v>
      </c>
      <c r="X39" s="70">
        <v>4050.70746968</v>
      </c>
      <c r="Y39" s="70">
        <v>4351.7916156299889</v>
      </c>
      <c r="Z39" s="70">
        <v>3604.7338338699901</v>
      </c>
      <c r="AA39" s="70">
        <v>5033.177552580004</v>
      </c>
      <c r="AB39" s="70">
        <v>3688.3628054000055</v>
      </c>
      <c r="AC39" s="70">
        <v>3742.2804702399962</v>
      </c>
      <c r="AD39" s="70">
        <v>4179.4323230499958</v>
      </c>
      <c r="AE39" s="70">
        <v>3714.4690740000001</v>
      </c>
      <c r="AF39" s="70">
        <v>4151.1031002900054</v>
      </c>
      <c r="AG39" s="70">
        <f t="shared" si="7"/>
        <v>50382.466469119994</v>
      </c>
      <c r="AI39" s="66">
        <f t="shared" si="26"/>
        <v>13866.408224380004</v>
      </c>
      <c r="AJ39" s="66">
        <f t="shared" si="21"/>
        <v>12007.232919179978</v>
      </c>
      <c r="AK39" s="66">
        <f t="shared" si="22"/>
        <v>12463.820828220007</v>
      </c>
      <c r="AL39" s="66">
        <f t="shared" si="23"/>
        <v>12045.004497340002</v>
      </c>
      <c r="AM39" s="88"/>
      <c r="AN39" s="70">
        <v>4475.5839711899998</v>
      </c>
      <c r="AO39" s="70">
        <v>4381.7639550900003</v>
      </c>
      <c r="AP39" s="70">
        <v>4023.2040430700063</v>
      </c>
      <c r="AQ39" s="70">
        <v>3990.6772339900008</v>
      </c>
      <c r="AR39" s="70">
        <v>4209.8325809400012</v>
      </c>
      <c r="AS39" s="70">
        <v>4499.05275532</v>
      </c>
      <c r="AT39" s="70"/>
      <c r="AU39" s="70"/>
      <c r="AV39" s="70"/>
      <c r="AW39" s="70"/>
      <c r="AX39" s="70"/>
      <c r="AY39" s="70"/>
      <c r="AZ39" s="70">
        <f t="shared" si="12"/>
        <v>25580.11453960001</v>
      </c>
      <c r="BB39" s="66">
        <f t="shared" si="27"/>
        <v>12880.551969350006</v>
      </c>
      <c r="BC39" s="66">
        <f t="shared" si="14"/>
        <v>12699.562570250004</v>
      </c>
      <c r="BD39" s="66">
        <f t="shared" si="15"/>
        <v>0</v>
      </c>
      <c r="BE39" s="66">
        <f t="shared" si="16"/>
        <v>0</v>
      </c>
    </row>
    <row r="40" spans="1:57" outlineLevel="2">
      <c r="A40" s="37" t="s">
        <v>99</v>
      </c>
      <c r="B40" s="70">
        <v>3557.5059667000014</v>
      </c>
      <c r="C40" s="70">
        <v>2364.8921433200003</v>
      </c>
      <c r="D40" s="70">
        <v>2232.8805674799978</v>
      </c>
      <c r="E40" s="70">
        <v>2703.0700501899973</v>
      </c>
      <c r="F40" s="70">
        <v>2634.9355102600002</v>
      </c>
      <c r="G40" s="70">
        <v>2572.4715777400006</v>
      </c>
      <c r="H40" s="70">
        <v>2593.7836589999997</v>
      </c>
      <c r="I40" s="70">
        <v>2522.0781859999988</v>
      </c>
      <c r="J40" s="70">
        <v>2557.6939039999997</v>
      </c>
      <c r="K40" s="70">
        <v>2596.584455510002</v>
      </c>
      <c r="L40" s="70">
        <v>2642.2612339999996</v>
      </c>
      <c r="M40" s="70">
        <v>2575.9108470000001</v>
      </c>
      <c r="N40" s="70">
        <f t="shared" si="2"/>
        <v>31554.068101199999</v>
      </c>
      <c r="P40" s="66">
        <f t="shared" si="25"/>
        <v>8155.2786774999995</v>
      </c>
      <c r="Q40" s="66">
        <f t="shared" si="4"/>
        <v>7910.4771381899982</v>
      </c>
      <c r="R40" s="66">
        <f t="shared" si="5"/>
        <v>7673.5557489999983</v>
      </c>
      <c r="S40" s="66">
        <f t="shared" si="6"/>
        <v>7814.7565365100018</v>
      </c>
      <c r="T40" s="88"/>
      <c r="U40" s="70">
        <v>2784.1405259900012</v>
      </c>
      <c r="V40" s="70">
        <v>2573.5367389900002</v>
      </c>
      <c r="W40" s="70">
        <v>2625.4057406799993</v>
      </c>
      <c r="X40" s="70">
        <v>2563.8710319900001</v>
      </c>
      <c r="Y40" s="70">
        <v>3564.7770030000001</v>
      </c>
      <c r="Z40" s="70">
        <v>3201.0960709999999</v>
      </c>
      <c r="AA40" s="70">
        <v>3117.9238809999997</v>
      </c>
      <c r="AB40" s="70">
        <v>3078.1553739999999</v>
      </c>
      <c r="AC40" s="70">
        <v>3087.7616059999991</v>
      </c>
      <c r="AD40" s="70">
        <v>1960.9371787999985</v>
      </c>
      <c r="AE40" s="70">
        <v>1975.03629</v>
      </c>
      <c r="AF40" s="70">
        <v>2158.7699123799994</v>
      </c>
      <c r="AG40" s="70">
        <f t="shared" si="7"/>
        <v>32691.411353830001</v>
      </c>
      <c r="AI40" s="66">
        <f t="shared" si="26"/>
        <v>7983.0830056600007</v>
      </c>
      <c r="AJ40" s="66">
        <f t="shared" si="21"/>
        <v>9329.7441059900011</v>
      </c>
      <c r="AK40" s="66">
        <f t="shared" si="22"/>
        <v>9283.8408609999988</v>
      </c>
      <c r="AL40" s="66">
        <f t="shared" si="23"/>
        <v>6094.7433811799983</v>
      </c>
      <c r="AM40" s="88"/>
      <c r="AN40" s="70">
        <v>1645.6303853299999</v>
      </c>
      <c r="AO40" s="70">
        <v>2033.0166479999996</v>
      </c>
      <c r="AP40" s="70">
        <v>2102.921264990001</v>
      </c>
      <c r="AQ40" s="70">
        <v>2190.0499112000016</v>
      </c>
      <c r="AR40" s="70">
        <v>2328.6566150000017</v>
      </c>
      <c r="AS40" s="70">
        <v>2303.6152774000002</v>
      </c>
      <c r="AT40" s="70"/>
      <c r="AU40" s="70"/>
      <c r="AV40" s="70"/>
      <c r="AW40" s="70"/>
      <c r="AX40" s="70"/>
      <c r="AY40" s="70"/>
      <c r="AZ40" s="70">
        <f t="shared" si="12"/>
        <v>12603.890101920004</v>
      </c>
      <c r="BB40" s="66">
        <f t="shared" si="27"/>
        <v>5781.5682983200004</v>
      </c>
      <c r="BC40" s="66">
        <f t="shared" si="14"/>
        <v>6822.3218036000035</v>
      </c>
      <c r="BD40" s="66">
        <f t="shared" si="15"/>
        <v>0</v>
      </c>
      <c r="BE40" s="66">
        <f t="shared" si="16"/>
        <v>0</v>
      </c>
    </row>
    <row r="41" spans="1:57" outlineLevel="2">
      <c r="A41" s="37" t="s">
        <v>100</v>
      </c>
      <c r="B41" s="66">
        <v>512.27189799999996</v>
      </c>
      <c r="C41" s="66">
        <v>512.27189799999996</v>
      </c>
      <c r="D41" s="66">
        <v>628.21795400000065</v>
      </c>
      <c r="E41" s="66">
        <v>550.92058333</v>
      </c>
      <c r="F41" s="66">
        <v>550.92058333</v>
      </c>
      <c r="G41" s="66">
        <v>550.92058333</v>
      </c>
      <c r="H41" s="66">
        <v>550.92058333</v>
      </c>
      <c r="I41" s="66">
        <v>550.92058333</v>
      </c>
      <c r="J41" s="66">
        <v>550.92058333</v>
      </c>
      <c r="K41" s="66">
        <v>550.92058333</v>
      </c>
      <c r="L41" s="66">
        <v>553.31768333000002</v>
      </c>
      <c r="M41" s="66">
        <v>550.92058333</v>
      </c>
      <c r="N41" s="66">
        <f t="shared" si="2"/>
        <v>6613.4440999700028</v>
      </c>
      <c r="P41" s="66">
        <f t="shared" si="25"/>
        <v>1652.7617500000006</v>
      </c>
      <c r="Q41" s="66">
        <f t="shared" si="4"/>
        <v>1652.76174999</v>
      </c>
      <c r="R41" s="66">
        <f t="shared" si="5"/>
        <v>1652.76174999</v>
      </c>
      <c r="S41" s="66">
        <f t="shared" si="6"/>
        <v>1655.1588499900001</v>
      </c>
      <c r="T41" s="88"/>
      <c r="U41" s="66">
        <v>526.84002800000007</v>
      </c>
      <c r="V41" s="66">
        <v>521.47602800000004</v>
      </c>
      <c r="W41" s="66">
        <v>634.29094400000031</v>
      </c>
      <c r="X41" s="66">
        <v>518.06899999999996</v>
      </c>
      <c r="Y41" s="66">
        <v>518.06899999999996</v>
      </c>
      <c r="Z41" s="66">
        <v>518.06899999999996</v>
      </c>
      <c r="AA41" s="66">
        <v>518.06899999999996</v>
      </c>
      <c r="AB41" s="66">
        <v>518.06899999999996</v>
      </c>
      <c r="AC41" s="66">
        <v>518.06899999999996</v>
      </c>
      <c r="AD41" s="66">
        <v>518.06899999999996</v>
      </c>
      <c r="AE41" s="66">
        <v>518.06899999999996</v>
      </c>
      <c r="AF41" s="66">
        <v>518.06899999999996</v>
      </c>
      <c r="AG41" s="66">
        <f t="shared" si="7"/>
        <v>6345.2279999999992</v>
      </c>
      <c r="AI41" s="66">
        <f t="shared" si="26"/>
        <v>1682.6070000000004</v>
      </c>
      <c r="AJ41" s="66">
        <f t="shared" si="21"/>
        <v>1554.2069999999999</v>
      </c>
      <c r="AK41" s="66">
        <f t="shared" si="22"/>
        <v>1554.2069999999999</v>
      </c>
      <c r="AL41" s="66">
        <f t="shared" si="23"/>
        <v>1554.2069999999999</v>
      </c>
      <c r="AM41" s="88"/>
      <c r="AN41" s="66">
        <v>491.75</v>
      </c>
      <c r="AO41" s="66">
        <v>491.75</v>
      </c>
      <c r="AP41" s="66">
        <v>401.36319600000024</v>
      </c>
      <c r="AQ41" s="66">
        <v>460.17108899999999</v>
      </c>
      <c r="AR41" s="66">
        <v>460.17108899999999</v>
      </c>
      <c r="AS41" s="66">
        <v>460.17108899999999</v>
      </c>
      <c r="AT41" s="66"/>
      <c r="AU41" s="66"/>
      <c r="AV41" s="66"/>
      <c r="AW41" s="66"/>
      <c r="AX41" s="66"/>
      <c r="AY41" s="66"/>
      <c r="AZ41" s="66">
        <f t="shared" si="12"/>
        <v>2765.3764630000001</v>
      </c>
      <c r="BB41" s="66">
        <f t="shared" si="27"/>
        <v>1384.8631960000002</v>
      </c>
      <c r="BC41" s="66">
        <f t="shared" si="14"/>
        <v>1380.513267</v>
      </c>
      <c r="BD41" s="66">
        <f t="shared" si="15"/>
        <v>0</v>
      </c>
      <c r="BE41" s="66">
        <f t="shared" si="16"/>
        <v>0</v>
      </c>
    </row>
    <row r="42" spans="1:57" outlineLevel="2">
      <c r="A42" s="37" t="s">
        <v>101</v>
      </c>
      <c r="B42" s="70">
        <v>4699.8057350399913</v>
      </c>
      <c r="C42" s="70">
        <v>3569.5595908799951</v>
      </c>
      <c r="D42" s="70">
        <v>4874.3537817500019</v>
      </c>
      <c r="E42" s="70">
        <v>4597.0868064700089</v>
      </c>
      <c r="F42" s="70">
        <v>4446.9181891200005</v>
      </c>
      <c r="G42" s="70">
        <v>4702.2029708800064</v>
      </c>
      <c r="H42" s="70">
        <v>4710.9330920700022</v>
      </c>
      <c r="I42" s="70">
        <v>4554.802206639989</v>
      </c>
      <c r="J42" s="70">
        <v>5105.1840494699918</v>
      </c>
      <c r="K42" s="70">
        <v>4711.2399307200048</v>
      </c>
      <c r="L42" s="70">
        <v>4987.2257821600097</v>
      </c>
      <c r="M42" s="70">
        <v>4675.0015803899978</v>
      </c>
      <c r="N42" s="70">
        <f t="shared" si="2"/>
        <v>55634.313715589997</v>
      </c>
      <c r="P42" s="66">
        <f t="shared" si="25"/>
        <v>13143.719107669987</v>
      </c>
      <c r="Q42" s="66">
        <f t="shared" si="4"/>
        <v>13746.207966470018</v>
      </c>
      <c r="R42" s="66">
        <f t="shared" si="5"/>
        <v>14370.919348179983</v>
      </c>
      <c r="S42" s="66">
        <f t="shared" si="6"/>
        <v>14373.467293270012</v>
      </c>
      <c r="T42" s="88"/>
      <c r="U42" s="70">
        <v>4211.189505130008</v>
      </c>
      <c r="V42" s="70">
        <v>5001.7617742399971</v>
      </c>
      <c r="W42" s="70">
        <v>4326.1468909799987</v>
      </c>
      <c r="X42" s="70">
        <v>4833.5048690599888</v>
      </c>
      <c r="Y42" s="70">
        <v>3896.5412175700076</v>
      </c>
      <c r="Z42" s="70">
        <v>5293.4145721100131</v>
      </c>
      <c r="AA42" s="70">
        <v>4944.3262087399999</v>
      </c>
      <c r="AB42" s="70">
        <v>4429.3507553499885</v>
      </c>
      <c r="AC42" s="70">
        <v>4961.1769890700143</v>
      </c>
      <c r="AD42" s="70">
        <v>4972.8421721200111</v>
      </c>
      <c r="AE42" s="70">
        <v>5249.623458</v>
      </c>
      <c r="AF42" s="70">
        <v>6875.054131619996</v>
      </c>
      <c r="AG42" s="70">
        <f t="shared" si="7"/>
        <v>58994.932543990035</v>
      </c>
      <c r="AI42" s="66">
        <f t="shared" si="26"/>
        <v>13539.098170350004</v>
      </c>
      <c r="AJ42" s="66">
        <f t="shared" si="21"/>
        <v>14023.460658740009</v>
      </c>
      <c r="AK42" s="66">
        <f t="shared" si="22"/>
        <v>14334.853953160002</v>
      </c>
      <c r="AL42" s="66">
        <f t="shared" si="23"/>
        <v>17097.519761740008</v>
      </c>
      <c r="AM42" s="88"/>
      <c r="AN42" s="70">
        <v>5534.5252379600015</v>
      </c>
      <c r="AO42" s="70">
        <v>5609.2223746600057</v>
      </c>
      <c r="AP42" s="70">
        <v>5262.8910634600034</v>
      </c>
      <c r="AQ42" s="70">
        <v>6787.5792083599972</v>
      </c>
      <c r="AR42" s="70">
        <v>7462.6955409999864</v>
      </c>
      <c r="AS42" s="70">
        <v>7181.88040473</v>
      </c>
      <c r="AT42" s="70"/>
      <c r="AU42" s="70"/>
      <c r="AV42" s="70"/>
      <c r="AW42" s="70"/>
      <c r="AX42" s="70"/>
      <c r="AY42" s="70"/>
      <c r="AZ42" s="70">
        <f t="shared" si="12"/>
        <v>37838.793830169991</v>
      </c>
      <c r="BB42" s="66">
        <f t="shared" si="27"/>
        <v>16406.638676080009</v>
      </c>
      <c r="BC42" s="66">
        <f t="shared" si="14"/>
        <v>21432.155154089982</v>
      </c>
      <c r="BD42" s="66">
        <f t="shared" si="15"/>
        <v>0</v>
      </c>
      <c r="BE42" s="66">
        <f t="shared" si="16"/>
        <v>0</v>
      </c>
    </row>
    <row r="43" spans="1:57" outlineLevel="2">
      <c r="A43" s="37" t="s">
        <v>102</v>
      </c>
      <c r="B43" s="70">
        <v>3150.2044523900049</v>
      </c>
      <c r="C43" s="70">
        <v>3021.8216067700037</v>
      </c>
      <c r="D43" s="70">
        <v>2548.9271064799987</v>
      </c>
      <c r="E43" s="70">
        <v>2851.0168275499977</v>
      </c>
      <c r="F43" s="70">
        <v>2931.7626329999975</v>
      </c>
      <c r="G43" s="70">
        <v>2751.283796669999</v>
      </c>
      <c r="H43" s="70">
        <v>3013.9140181899998</v>
      </c>
      <c r="I43" s="70">
        <v>2550.4927650399968</v>
      </c>
      <c r="J43" s="70">
        <v>2783.4734772599991</v>
      </c>
      <c r="K43" s="70">
        <v>3382.3635078899993</v>
      </c>
      <c r="L43" s="70">
        <v>3707.6885151400006</v>
      </c>
      <c r="M43" s="70">
        <v>3321.3235097199959</v>
      </c>
      <c r="N43" s="70">
        <f t="shared" si="2"/>
        <v>36014.272216099991</v>
      </c>
      <c r="P43" s="66">
        <f t="shared" si="25"/>
        <v>8720.9531656400068</v>
      </c>
      <c r="Q43" s="66">
        <f t="shared" si="4"/>
        <v>8534.0632572199938</v>
      </c>
      <c r="R43" s="66">
        <f t="shared" si="5"/>
        <v>8347.8802604899956</v>
      </c>
      <c r="S43" s="66">
        <f t="shared" si="6"/>
        <v>10411.375532749997</v>
      </c>
      <c r="T43" s="88"/>
      <c r="U43" s="70">
        <v>3016.0667454399972</v>
      </c>
      <c r="V43" s="70">
        <v>2677.5637970299977</v>
      </c>
      <c r="W43" s="70">
        <v>2730.6396238399939</v>
      </c>
      <c r="X43" s="70">
        <v>2655.8324709600001</v>
      </c>
      <c r="Y43" s="70">
        <v>2932.2921805999986</v>
      </c>
      <c r="Z43" s="70">
        <v>2597.8146374999965</v>
      </c>
      <c r="AA43" s="70">
        <v>2360.7251678299981</v>
      </c>
      <c r="AB43" s="70">
        <v>2639.3734594100001</v>
      </c>
      <c r="AC43" s="70">
        <v>2572.8388299299968</v>
      </c>
      <c r="AD43" s="70">
        <v>2763.1901978400006</v>
      </c>
      <c r="AE43" s="70">
        <v>2948.3407040000002</v>
      </c>
      <c r="AF43" s="70">
        <v>3102.8329440899979</v>
      </c>
      <c r="AG43" s="70">
        <f t="shared" si="7"/>
        <v>32997.510758469973</v>
      </c>
      <c r="AI43" s="66">
        <f t="shared" si="26"/>
        <v>8424.2701663099888</v>
      </c>
      <c r="AJ43" s="66">
        <f t="shared" si="21"/>
        <v>8185.9392890599956</v>
      </c>
      <c r="AK43" s="66">
        <f t="shared" si="22"/>
        <v>7572.9374571699955</v>
      </c>
      <c r="AL43" s="66">
        <f t="shared" si="23"/>
        <v>8814.3638459299982</v>
      </c>
      <c r="AM43" s="88"/>
      <c r="AN43" s="70">
        <v>1798.093186399999</v>
      </c>
      <c r="AO43" s="70">
        <v>2828.5615345299998</v>
      </c>
      <c r="AP43" s="70">
        <v>2459.1341931199995</v>
      </c>
      <c r="AQ43" s="70">
        <v>2956.1142484599964</v>
      </c>
      <c r="AR43" s="70">
        <v>2256.8610489100024</v>
      </c>
      <c r="AS43" s="70">
        <v>2691.48458708</v>
      </c>
      <c r="AT43" s="70"/>
      <c r="AU43" s="70"/>
      <c r="AV43" s="70"/>
      <c r="AW43" s="70"/>
      <c r="AX43" s="70"/>
      <c r="AY43" s="70"/>
      <c r="AZ43" s="70">
        <f t="shared" si="12"/>
        <v>14990.248798499997</v>
      </c>
      <c r="BB43" s="66">
        <f t="shared" si="27"/>
        <v>7085.7889140499983</v>
      </c>
      <c r="BC43" s="66">
        <f t="shared" si="14"/>
        <v>7904.4598844499988</v>
      </c>
      <c r="BD43" s="66">
        <f t="shared" si="15"/>
        <v>0</v>
      </c>
      <c r="BE43" s="66">
        <f t="shared" si="16"/>
        <v>0</v>
      </c>
    </row>
    <row r="44" spans="1:57" outlineLevel="2">
      <c r="A44" s="37" t="s">
        <v>103</v>
      </c>
      <c r="B44" s="66">
        <v>280.38413781000003</v>
      </c>
      <c r="C44" s="66">
        <v>246.25144697000005</v>
      </c>
      <c r="D44" s="66">
        <v>226.32487952000002</v>
      </c>
      <c r="E44" s="66">
        <v>195.90625258000011</v>
      </c>
      <c r="F44" s="66">
        <v>228.12459373999997</v>
      </c>
      <c r="G44" s="66">
        <v>243.18938299999996</v>
      </c>
      <c r="H44" s="66">
        <v>218.99236834000021</v>
      </c>
      <c r="I44" s="66">
        <v>170.28538740000002</v>
      </c>
      <c r="J44" s="66">
        <v>317.30085763999995</v>
      </c>
      <c r="K44" s="66">
        <v>283.12475848999992</v>
      </c>
      <c r="L44" s="66">
        <v>276.40790343999998</v>
      </c>
      <c r="M44" s="66">
        <v>258.73377189999985</v>
      </c>
      <c r="N44" s="66">
        <f t="shared" si="2"/>
        <v>2945.0257408299999</v>
      </c>
      <c r="P44" s="66">
        <f t="shared" si="25"/>
        <v>752.96046430000001</v>
      </c>
      <c r="Q44" s="66">
        <f t="shared" si="4"/>
        <v>667.22022932000004</v>
      </c>
      <c r="R44" s="66">
        <f t="shared" si="5"/>
        <v>706.57861338000021</v>
      </c>
      <c r="S44" s="66">
        <f t="shared" si="6"/>
        <v>818.26643382999976</v>
      </c>
      <c r="T44" s="88"/>
      <c r="U44" s="66">
        <v>241.54087807999994</v>
      </c>
      <c r="V44" s="66">
        <v>340.12693078999928</v>
      </c>
      <c r="W44" s="66">
        <v>283.33546492999989</v>
      </c>
      <c r="X44" s="66">
        <v>280.23551206999991</v>
      </c>
      <c r="Y44" s="66">
        <v>265.26081776999979</v>
      </c>
      <c r="Z44" s="66">
        <v>191.41596610999986</v>
      </c>
      <c r="AA44" s="66">
        <v>21.077993890000144</v>
      </c>
      <c r="AB44" s="66">
        <v>287.34116894000005</v>
      </c>
      <c r="AC44" s="66">
        <v>324.7128276799998</v>
      </c>
      <c r="AD44" s="66">
        <v>125.04856793999993</v>
      </c>
      <c r="AE44" s="66">
        <v>480.50004610000002</v>
      </c>
      <c r="AF44" s="66">
        <v>286.29841440000064</v>
      </c>
      <c r="AG44" s="66">
        <f t="shared" si="7"/>
        <v>3126.8945886999991</v>
      </c>
      <c r="AI44" s="66">
        <f t="shared" si="26"/>
        <v>865.00327379999908</v>
      </c>
      <c r="AJ44" s="66">
        <f t="shared" si="21"/>
        <v>736.91229594999959</v>
      </c>
      <c r="AK44" s="66">
        <f t="shared" si="22"/>
        <v>633.13199050999992</v>
      </c>
      <c r="AL44" s="66">
        <f t="shared" si="23"/>
        <v>891.8470284400006</v>
      </c>
      <c r="AM44" s="88"/>
      <c r="AN44" s="66">
        <v>249.66876669999999</v>
      </c>
      <c r="AO44" s="66">
        <v>233.30282307999971</v>
      </c>
      <c r="AP44" s="66">
        <v>256.80469398999992</v>
      </c>
      <c r="AQ44" s="66">
        <v>218.33392741000011</v>
      </c>
      <c r="AR44" s="66">
        <v>186.46542148999998</v>
      </c>
      <c r="AS44" s="66">
        <v>197.39739521000001</v>
      </c>
      <c r="AT44" s="66"/>
      <c r="AU44" s="66"/>
      <c r="AV44" s="66"/>
      <c r="AW44" s="66"/>
      <c r="AX44" s="66"/>
      <c r="AY44" s="66"/>
      <c r="AZ44" s="66">
        <f t="shared" si="12"/>
        <v>1341.9730278799998</v>
      </c>
      <c r="BB44" s="66">
        <f t="shared" si="27"/>
        <v>739.77628376999962</v>
      </c>
      <c r="BC44" s="66">
        <f t="shared" si="14"/>
        <v>602.19674411000005</v>
      </c>
      <c r="BD44" s="66">
        <f t="shared" si="15"/>
        <v>0</v>
      </c>
      <c r="BE44" s="66">
        <f t="shared" si="16"/>
        <v>0</v>
      </c>
    </row>
    <row r="45" spans="1:57" outlineLevel="2">
      <c r="A45" s="37" t="s">
        <v>104</v>
      </c>
      <c r="B45" s="70">
        <v>1287.7737100000002</v>
      </c>
      <c r="C45" s="70">
        <v>780</v>
      </c>
      <c r="D45" s="70">
        <v>714.26251999999999</v>
      </c>
      <c r="E45" s="70">
        <v>1164.7627256600001</v>
      </c>
      <c r="F45" s="70">
        <v>1118.2570203400001</v>
      </c>
      <c r="G45" s="70">
        <v>1171.7635840000007</v>
      </c>
      <c r="H45" s="70">
        <v>1167.5525829999997</v>
      </c>
      <c r="I45" s="70">
        <v>1208.5741969999992</v>
      </c>
      <c r="J45" s="70">
        <v>1101.8568689999997</v>
      </c>
      <c r="K45" s="70">
        <v>1206.7845349999998</v>
      </c>
      <c r="L45" s="70">
        <v>1162.9672800000008</v>
      </c>
      <c r="M45" s="70">
        <v>1196.9355350000005</v>
      </c>
      <c r="N45" s="70">
        <f t="shared" si="2"/>
        <v>13281.490559000002</v>
      </c>
      <c r="P45" s="66">
        <f t="shared" si="25"/>
        <v>2782.0362300000006</v>
      </c>
      <c r="Q45" s="66">
        <f t="shared" si="4"/>
        <v>3454.7833300000007</v>
      </c>
      <c r="R45" s="66">
        <f t="shared" si="5"/>
        <v>3477.9836489999984</v>
      </c>
      <c r="S45" s="66">
        <f t="shared" si="6"/>
        <v>3566.6873500000011</v>
      </c>
      <c r="T45" s="88"/>
      <c r="U45" s="70">
        <v>1290.4145741999996</v>
      </c>
      <c r="V45" s="70">
        <v>1067.9667428000002</v>
      </c>
      <c r="W45" s="70">
        <v>1509.1421740000005</v>
      </c>
      <c r="X45" s="70">
        <v>1239.0566899999999</v>
      </c>
      <c r="Y45" s="70">
        <v>1375.3581579999991</v>
      </c>
      <c r="Z45" s="70">
        <v>1216.6875180000002</v>
      </c>
      <c r="AA45" s="70">
        <v>1382.052905</v>
      </c>
      <c r="AB45" s="70">
        <v>1224.9372079999994</v>
      </c>
      <c r="AC45" s="70">
        <v>1314.8258049999999</v>
      </c>
      <c r="AD45" s="70">
        <v>1291.9794040000004</v>
      </c>
      <c r="AE45" s="70">
        <v>1352.7576260000001</v>
      </c>
      <c r="AF45" s="70">
        <v>1582.0735542299994</v>
      </c>
      <c r="AG45" s="70">
        <f t="shared" si="7"/>
        <v>15847.252359229999</v>
      </c>
      <c r="AI45" s="66">
        <f t="shared" si="26"/>
        <v>3867.5234910000004</v>
      </c>
      <c r="AJ45" s="66">
        <f t="shared" si="21"/>
        <v>3831.1023659999992</v>
      </c>
      <c r="AK45" s="66">
        <f t="shared" si="22"/>
        <v>3921.8159179999993</v>
      </c>
      <c r="AL45" s="66">
        <f t="shared" si="23"/>
        <v>4226.8105842299992</v>
      </c>
      <c r="AM45" s="88"/>
      <c r="AN45" s="70">
        <v>1289.6126313899999</v>
      </c>
      <c r="AO45" s="70">
        <v>1424.7881760000002</v>
      </c>
      <c r="AP45" s="70">
        <v>1303.0704363999998</v>
      </c>
      <c r="AQ45" s="70">
        <v>1596.7978150000001</v>
      </c>
      <c r="AR45" s="70">
        <v>1381.6813849500004</v>
      </c>
      <c r="AS45" s="70">
        <v>1531.0169430000001</v>
      </c>
      <c r="AT45" s="70"/>
      <c r="AU45" s="70"/>
      <c r="AV45" s="70"/>
      <c r="AW45" s="70"/>
      <c r="AX45" s="70"/>
      <c r="AY45" s="70"/>
      <c r="AZ45" s="70">
        <f t="shared" si="12"/>
        <v>8526.9673867400015</v>
      </c>
      <c r="BB45" s="66">
        <f t="shared" si="27"/>
        <v>4017.4712437900002</v>
      </c>
      <c r="BC45" s="66">
        <f t="shared" si="14"/>
        <v>4509.4961429499999</v>
      </c>
      <c r="BD45" s="66">
        <f t="shared" si="15"/>
        <v>0</v>
      </c>
      <c r="BE45" s="66">
        <f t="shared" si="16"/>
        <v>0</v>
      </c>
    </row>
    <row r="46" spans="1:57" outlineLevel="2">
      <c r="A46" s="37" t="s">
        <v>105</v>
      </c>
      <c r="B46" s="70"/>
      <c r="C46" s="70">
        <v>766.65315954000005</v>
      </c>
      <c r="D46" s="70">
        <v>331.38588820999996</v>
      </c>
      <c r="E46" s="70">
        <v>253.43724062999996</v>
      </c>
      <c r="F46" s="70">
        <v>414.55844496999993</v>
      </c>
      <c r="G46" s="70">
        <v>564.11152928000001</v>
      </c>
      <c r="H46" s="70">
        <v>456.94126470999993</v>
      </c>
      <c r="I46" s="70">
        <v>504.07233001000009</v>
      </c>
      <c r="J46" s="70">
        <v>453.47054991999994</v>
      </c>
      <c r="K46" s="70">
        <v>504.32344622999994</v>
      </c>
      <c r="L46" s="70">
        <v>586.78258173999961</v>
      </c>
      <c r="M46" s="70">
        <v>518.98913416000028</v>
      </c>
      <c r="N46" s="70">
        <f t="shared" si="2"/>
        <v>5354.7255693999996</v>
      </c>
      <c r="P46" s="66">
        <f t="shared" si="25"/>
        <v>1098.03904775</v>
      </c>
      <c r="Q46" s="66">
        <f t="shared" si="4"/>
        <v>1232.1072148799999</v>
      </c>
      <c r="R46" s="66">
        <f t="shared" si="5"/>
        <v>1414.4841446400001</v>
      </c>
      <c r="S46" s="66">
        <f t="shared" si="6"/>
        <v>1610.0951621299998</v>
      </c>
      <c r="T46" s="88"/>
      <c r="U46" s="70">
        <v>592.95241793000014</v>
      </c>
      <c r="V46" s="70">
        <v>583.75953302000039</v>
      </c>
      <c r="W46" s="70">
        <v>604.99250752000034</v>
      </c>
      <c r="X46" s="70">
        <v>615.05972588000054</v>
      </c>
      <c r="Y46" s="70">
        <v>659.53776973000004</v>
      </c>
      <c r="Z46" s="70">
        <v>520.61003679999999</v>
      </c>
      <c r="AA46" s="70">
        <v>316.03162729999997</v>
      </c>
      <c r="AB46" s="70">
        <v>612.24180801000011</v>
      </c>
      <c r="AC46" s="70">
        <v>559.49182001000031</v>
      </c>
      <c r="AD46" s="70">
        <v>529.00032622000015</v>
      </c>
      <c r="AE46" s="70">
        <v>495.52053510000002</v>
      </c>
      <c r="AF46" s="70">
        <v>488.56114591000005</v>
      </c>
      <c r="AG46" s="70">
        <f t="shared" si="7"/>
        <v>6577.7592534300011</v>
      </c>
      <c r="AI46" s="66">
        <f t="shared" si="26"/>
        <v>1781.7044584700009</v>
      </c>
      <c r="AJ46" s="66">
        <f t="shared" si="21"/>
        <v>1795.2075324100006</v>
      </c>
      <c r="AK46" s="66">
        <f t="shared" si="22"/>
        <v>1487.7652553200005</v>
      </c>
      <c r="AL46" s="66">
        <f t="shared" si="23"/>
        <v>1513.0820072300003</v>
      </c>
      <c r="AM46" s="88"/>
      <c r="AN46" s="70">
        <v>420.4851807</v>
      </c>
      <c r="AO46" s="70">
        <v>540.7379750299998</v>
      </c>
      <c r="AP46" s="70">
        <v>454.49712184999987</v>
      </c>
      <c r="AQ46" s="70">
        <v>500.04030572000022</v>
      </c>
      <c r="AR46" s="70">
        <v>274.64356379999992</v>
      </c>
      <c r="AS46" s="70">
        <v>398.17292845999998</v>
      </c>
      <c r="AT46" s="70"/>
      <c r="AU46" s="70"/>
      <c r="AV46" s="70"/>
      <c r="AW46" s="70"/>
      <c r="AX46" s="70"/>
      <c r="AY46" s="70"/>
      <c r="AZ46" s="70">
        <f t="shared" si="12"/>
        <v>2588.5770755599997</v>
      </c>
      <c r="BB46" s="66">
        <f t="shared" si="27"/>
        <v>1415.7202775799997</v>
      </c>
      <c r="BC46" s="66">
        <f t="shared" si="14"/>
        <v>1172.85679798</v>
      </c>
      <c r="BD46" s="66">
        <f t="shared" si="15"/>
        <v>0</v>
      </c>
      <c r="BE46" s="66">
        <f t="shared" si="16"/>
        <v>0</v>
      </c>
    </row>
    <row r="47" spans="1:57" outlineLevel="2">
      <c r="A47" s="37" t="s">
        <v>106</v>
      </c>
      <c r="B47" s="70">
        <v>3222.1558036400047</v>
      </c>
      <c r="C47" s="70">
        <v>3531.963345099995</v>
      </c>
      <c r="D47" s="70">
        <v>3850.4707400000043</v>
      </c>
      <c r="E47" s="70">
        <v>3470.6352759999986</v>
      </c>
      <c r="F47" s="70">
        <v>3920.7958318000001</v>
      </c>
      <c r="G47" s="70">
        <v>3962.887253199995</v>
      </c>
      <c r="H47" s="70">
        <v>4128.7522709999939</v>
      </c>
      <c r="I47" s="70">
        <v>4305.0740447199987</v>
      </c>
      <c r="J47" s="70">
        <v>4727.2119510800021</v>
      </c>
      <c r="K47" s="70">
        <v>4243.9021199699982</v>
      </c>
      <c r="L47" s="70">
        <v>4218.1977517999876</v>
      </c>
      <c r="M47" s="70">
        <v>3930.9593744499998</v>
      </c>
      <c r="N47" s="70">
        <f t="shared" si="2"/>
        <v>47513.005762759989</v>
      </c>
      <c r="P47" s="66">
        <f t="shared" si="25"/>
        <v>10604.589888740004</v>
      </c>
      <c r="Q47" s="66">
        <f t="shared" si="4"/>
        <v>11354.318360999994</v>
      </c>
      <c r="R47" s="66">
        <f t="shared" si="5"/>
        <v>13161.038266799995</v>
      </c>
      <c r="S47" s="66">
        <f t="shared" si="6"/>
        <v>12393.059246219986</v>
      </c>
      <c r="T47" s="88"/>
      <c r="U47" s="70">
        <v>4222.0671489999932</v>
      </c>
      <c r="V47" s="70">
        <v>3694.1814429999972</v>
      </c>
      <c r="W47" s="70">
        <v>4392.0919388999973</v>
      </c>
      <c r="X47" s="70">
        <v>3697.948486439996</v>
      </c>
      <c r="Y47" s="70">
        <v>3945.8992739999971</v>
      </c>
      <c r="Z47" s="70">
        <v>4270.16306824</v>
      </c>
      <c r="AA47" s="70">
        <v>4093.9959110999962</v>
      </c>
      <c r="AB47" s="70">
        <v>4169.7288258099998</v>
      </c>
      <c r="AC47" s="70">
        <v>3851.4352310700033</v>
      </c>
      <c r="AD47" s="70">
        <v>4150.589130229996</v>
      </c>
      <c r="AE47" s="70">
        <v>3664.4953580000001</v>
      </c>
      <c r="AF47" s="70">
        <v>3621.0982923799997</v>
      </c>
      <c r="AG47" s="70">
        <f t="shared" si="7"/>
        <v>47773.69410816997</v>
      </c>
      <c r="AI47" s="66">
        <f t="shared" si="26"/>
        <v>12308.340530899988</v>
      </c>
      <c r="AJ47" s="66">
        <f t="shared" si="21"/>
        <v>11914.010828679993</v>
      </c>
      <c r="AK47" s="66">
        <f t="shared" si="22"/>
        <v>12115.15996798</v>
      </c>
      <c r="AL47" s="66">
        <f t="shared" si="23"/>
        <v>11436.182780609995</v>
      </c>
      <c r="AM47" s="88"/>
      <c r="AN47" s="70">
        <v>8089.8179167000008</v>
      </c>
      <c r="AO47" s="70">
        <v>2799.9157903900123</v>
      </c>
      <c r="AP47" s="70">
        <v>5720.9974200000124</v>
      </c>
      <c r="AQ47" s="70">
        <v>5935.5670679999957</v>
      </c>
      <c r="AR47" s="70">
        <v>5939.2201520000017</v>
      </c>
      <c r="AS47" s="70">
        <v>3053.2599806600001</v>
      </c>
      <c r="AT47" s="70"/>
      <c r="AU47" s="70"/>
      <c r="AV47" s="70"/>
      <c r="AW47" s="70"/>
      <c r="AX47" s="70"/>
      <c r="AY47" s="70"/>
      <c r="AZ47" s="70">
        <f t="shared" si="12"/>
        <v>31538.778327750024</v>
      </c>
      <c r="BB47" s="66">
        <f t="shared" si="27"/>
        <v>16610.731127090025</v>
      </c>
      <c r="BC47" s="66">
        <f t="shared" si="14"/>
        <v>14928.047200659999</v>
      </c>
      <c r="BD47" s="66">
        <f t="shared" si="15"/>
        <v>0</v>
      </c>
      <c r="BE47" s="66">
        <f t="shared" si="16"/>
        <v>0</v>
      </c>
    </row>
    <row r="48" spans="1:57" outlineLevel="2">
      <c r="A48" s="41"/>
      <c r="B48" s="66"/>
      <c r="C48" s="66"/>
      <c r="D48" s="66"/>
      <c r="E48" s="66"/>
      <c r="F48" s="66"/>
      <c r="G48" s="66">
        <v>0</v>
      </c>
      <c r="H48" s="66">
        <v>0</v>
      </c>
      <c r="I48" s="66">
        <v>0</v>
      </c>
      <c r="J48" s="66">
        <v>0</v>
      </c>
      <c r="K48" s="66">
        <v>0</v>
      </c>
      <c r="L48" s="66">
        <v>0</v>
      </c>
      <c r="M48" s="66">
        <v>0</v>
      </c>
      <c r="N48" s="66">
        <f t="shared" si="2"/>
        <v>0</v>
      </c>
      <c r="P48" s="66">
        <f t="shared" si="25"/>
        <v>0</v>
      </c>
      <c r="Q48" s="66">
        <f t="shared" si="4"/>
        <v>0</v>
      </c>
      <c r="R48" s="66">
        <f t="shared" si="5"/>
        <v>0</v>
      </c>
      <c r="S48" s="66">
        <f t="shared" si="6"/>
        <v>0</v>
      </c>
      <c r="T48" s="88"/>
      <c r="U48" s="66">
        <v>0</v>
      </c>
      <c r="V48" s="66">
        <v>0</v>
      </c>
      <c r="W48" s="66">
        <v>0</v>
      </c>
      <c r="X48" s="66">
        <v>0</v>
      </c>
      <c r="Y48" s="66">
        <v>0</v>
      </c>
      <c r="Z48" s="66">
        <v>0</v>
      </c>
      <c r="AA48" s="66">
        <v>0</v>
      </c>
      <c r="AB48" s="66">
        <v>0</v>
      </c>
      <c r="AC48" s="66"/>
      <c r="AD48" s="66">
        <v>0</v>
      </c>
      <c r="AE48" s="66">
        <v>0</v>
      </c>
      <c r="AF48" s="66">
        <v>0</v>
      </c>
      <c r="AG48" s="66">
        <f t="shared" si="7"/>
        <v>0</v>
      </c>
      <c r="AI48" s="66">
        <f t="shared" si="26"/>
        <v>0</v>
      </c>
      <c r="AJ48" s="66">
        <f t="shared" si="21"/>
        <v>0</v>
      </c>
      <c r="AK48" s="66">
        <f t="shared" si="22"/>
        <v>0</v>
      </c>
      <c r="AL48" s="66">
        <f t="shared" si="23"/>
        <v>0</v>
      </c>
      <c r="AM48" s="88"/>
      <c r="AN48" s="66"/>
      <c r="AO48" s="66"/>
      <c r="AP48" s="66"/>
      <c r="AQ48" s="66"/>
      <c r="AR48" s="66"/>
      <c r="AS48" s="66"/>
      <c r="AT48" s="66"/>
      <c r="AU48" s="66"/>
      <c r="AV48" s="66"/>
      <c r="AW48" s="66"/>
      <c r="AX48" s="66"/>
      <c r="AY48" s="66"/>
      <c r="AZ48" s="66">
        <f t="shared" si="12"/>
        <v>0</v>
      </c>
      <c r="BB48" s="66">
        <f t="shared" si="27"/>
        <v>0</v>
      </c>
      <c r="BC48" s="66">
        <f t="shared" si="14"/>
        <v>0</v>
      </c>
      <c r="BD48" s="66">
        <f t="shared" si="15"/>
        <v>0</v>
      </c>
      <c r="BE48" s="66">
        <f t="shared" si="16"/>
        <v>0</v>
      </c>
    </row>
    <row r="49" spans="1:57" ht="15.75" outlineLevel="2">
      <c r="A49" s="39" t="s">
        <v>107</v>
      </c>
      <c r="B49" s="69">
        <v>2741.2458015800007</v>
      </c>
      <c r="C49" s="69">
        <v>2289.1499116300006</v>
      </c>
      <c r="D49" s="69">
        <v>2527.34750601</v>
      </c>
      <c r="E49" s="69">
        <v>2032.4451559900012</v>
      </c>
      <c r="F49" s="69">
        <v>2326.2052496200004</v>
      </c>
      <c r="G49" s="69">
        <v>2425.0207512799993</v>
      </c>
      <c r="H49" s="69">
        <v>1872.4515500700004</v>
      </c>
      <c r="I49" s="69">
        <v>2271.7953110100002</v>
      </c>
      <c r="J49" s="69">
        <v>1864.9996496800013</v>
      </c>
      <c r="K49" s="69">
        <v>2757.1738991299985</v>
      </c>
      <c r="L49" s="69">
        <v>2564.9984616299994</v>
      </c>
      <c r="M49" s="69">
        <v>2387.1022085599984</v>
      </c>
      <c r="N49" s="69">
        <f t="shared" si="2"/>
        <v>28059.935456189996</v>
      </c>
      <c r="P49" s="69">
        <f t="shared" si="25"/>
        <v>7557.7432192200013</v>
      </c>
      <c r="Q49" s="69">
        <f t="shared" si="4"/>
        <v>6783.6711568900009</v>
      </c>
      <c r="R49" s="69">
        <f t="shared" si="5"/>
        <v>6009.2465107600019</v>
      </c>
      <c r="S49" s="69">
        <f t="shared" si="6"/>
        <v>7709.2745693199959</v>
      </c>
      <c r="T49" s="90"/>
      <c r="U49" s="69">
        <v>2045.0341022399994</v>
      </c>
      <c r="V49" s="69">
        <v>2374.6917681800001</v>
      </c>
      <c r="W49" s="69">
        <v>2550.9162986999995</v>
      </c>
      <c r="X49" s="69">
        <v>2559.49057477</v>
      </c>
      <c r="Y49" s="69">
        <v>2987.4392028800021</v>
      </c>
      <c r="Z49" s="69">
        <v>2346.090835499997</v>
      </c>
      <c r="AA49" s="69">
        <v>2667.3100863199984</v>
      </c>
      <c r="AB49" s="69">
        <v>2385.2765421700001</v>
      </c>
      <c r="AC49" s="69">
        <v>2866.1855291399997</v>
      </c>
      <c r="AD49" s="69">
        <v>2539.8440635300053</v>
      </c>
      <c r="AE49" s="69">
        <v>2283.3266859999999</v>
      </c>
      <c r="AF49" s="69">
        <v>2942.6031722900002</v>
      </c>
      <c r="AG49" s="69">
        <f t="shared" si="7"/>
        <v>30548.208861720002</v>
      </c>
      <c r="AI49" s="69">
        <f t="shared" si="26"/>
        <v>6970.6421691199994</v>
      </c>
      <c r="AJ49" s="69">
        <f t="shared" si="21"/>
        <v>7893.0206131499999</v>
      </c>
      <c r="AK49" s="69">
        <f t="shared" si="22"/>
        <v>7918.7721576299982</v>
      </c>
      <c r="AL49" s="69">
        <f t="shared" si="23"/>
        <v>7765.7739218200059</v>
      </c>
      <c r="AM49" s="90"/>
      <c r="AN49" s="69">
        <v>3777.1674673699963</v>
      </c>
      <c r="AO49" s="69">
        <v>4498.4430679699999</v>
      </c>
      <c r="AP49" s="69">
        <v>3906.486965569999</v>
      </c>
      <c r="AQ49" s="69">
        <v>3898.1552974499959</v>
      </c>
      <c r="AR49" s="69">
        <v>3983.8415863999976</v>
      </c>
      <c r="AS49" s="69">
        <v>4165.4413944500002</v>
      </c>
      <c r="AT49" s="69"/>
      <c r="AU49" s="69"/>
      <c r="AV49" s="69"/>
      <c r="AW49" s="69"/>
      <c r="AX49" s="69"/>
      <c r="AY49" s="69"/>
      <c r="AZ49" s="69">
        <f t="shared" si="12"/>
        <v>24229.535779209989</v>
      </c>
      <c r="BB49" s="69">
        <f t="shared" si="27"/>
        <v>12182.097500909995</v>
      </c>
      <c r="BC49" s="69">
        <f t="shared" si="14"/>
        <v>12047.438278299993</v>
      </c>
      <c r="BD49" s="69">
        <f t="shared" si="15"/>
        <v>0</v>
      </c>
      <c r="BE49" s="69">
        <f t="shared" si="16"/>
        <v>0</v>
      </c>
    </row>
    <row r="50" spans="1:57" outlineLevel="2">
      <c r="A50" s="37" t="s">
        <v>108</v>
      </c>
      <c r="B50" s="70">
        <v>2051.1127122700004</v>
      </c>
      <c r="C50" s="70">
        <v>1583.1780836300006</v>
      </c>
      <c r="D50" s="70">
        <v>1832.5337686</v>
      </c>
      <c r="E50" s="70">
        <v>1540.1652749900011</v>
      </c>
      <c r="F50" s="70">
        <v>1830.3155512500005</v>
      </c>
      <c r="G50" s="70">
        <v>1725.7766628299992</v>
      </c>
      <c r="H50" s="70">
        <v>1578.7562211100005</v>
      </c>
      <c r="I50" s="70">
        <v>1957.7026899799998</v>
      </c>
      <c r="J50" s="70">
        <v>1435.9501978200012</v>
      </c>
      <c r="K50" s="70">
        <v>2367.2079586599984</v>
      </c>
      <c r="L50" s="70">
        <v>1875.0324483799996</v>
      </c>
      <c r="M50" s="70">
        <v>1810.8332806799983</v>
      </c>
      <c r="N50" s="70">
        <f t="shared" si="2"/>
        <v>21588.5648502</v>
      </c>
      <c r="P50" s="66">
        <f t="shared" si="25"/>
        <v>5466.8245645000015</v>
      </c>
      <c r="Q50" s="66">
        <f t="shared" si="4"/>
        <v>5096.2574890700007</v>
      </c>
      <c r="R50" s="66">
        <f t="shared" si="5"/>
        <v>4972.409108910002</v>
      </c>
      <c r="S50" s="66">
        <f t="shared" si="6"/>
        <v>6053.0736877199961</v>
      </c>
      <c r="T50" s="88"/>
      <c r="U50" s="70">
        <v>1585.1497044899995</v>
      </c>
      <c r="V50" s="70">
        <v>1892.2376847400001</v>
      </c>
      <c r="W50" s="70">
        <v>1981.1729174299996</v>
      </c>
      <c r="X50" s="70">
        <v>2147.5888893199999</v>
      </c>
      <c r="Y50" s="70">
        <v>2489.5213981300012</v>
      </c>
      <c r="Z50" s="70">
        <v>1898.9218615299969</v>
      </c>
      <c r="AA50" s="70">
        <v>1766.4425462500001</v>
      </c>
      <c r="AB50" s="70">
        <v>1751.3049287900001</v>
      </c>
      <c r="AC50" s="70">
        <v>2141.76501985</v>
      </c>
      <c r="AD50" s="70">
        <v>1816.2471418600044</v>
      </c>
      <c r="AE50" s="70">
        <v>1707.4868220000001</v>
      </c>
      <c r="AF50" s="70">
        <v>1965.4767702300001</v>
      </c>
      <c r="AG50" s="70">
        <f t="shared" si="7"/>
        <v>23143.315684620004</v>
      </c>
      <c r="AI50" s="66">
        <f t="shared" si="26"/>
        <v>5458.5603066599997</v>
      </c>
      <c r="AJ50" s="66">
        <f t="shared" si="21"/>
        <v>6536.0321489799981</v>
      </c>
      <c r="AK50" s="66">
        <f t="shared" si="22"/>
        <v>5659.5124948900002</v>
      </c>
      <c r="AL50" s="66">
        <f t="shared" si="23"/>
        <v>5489.2107340900038</v>
      </c>
      <c r="AM50" s="88"/>
      <c r="AN50" s="70">
        <v>1546.9418411499996</v>
      </c>
      <c r="AO50" s="70">
        <v>2655.6431906200032</v>
      </c>
      <c r="AP50" s="70">
        <v>1781.593282299998</v>
      </c>
      <c r="AQ50" s="70">
        <v>1782.0716294900005</v>
      </c>
      <c r="AR50" s="70">
        <v>2009.1461421599993</v>
      </c>
      <c r="AS50" s="70">
        <v>1978.94224824</v>
      </c>
      <c r="AT50" s="70"/>
      <c r="AU50" s="70"/>
      <c r="AV50" s="70"/>
      <c r="AW50" s="70"/>
      <c r="AX50" s="70"/>
      <c r="AY50" s="70"/>
      <c r="AZ50" s="70">
        <f t="shared" si="12"/>
        <v>11754.33833396</v>
      </c>
      <c r="BB50" s="66">
        <f t="shared" si="27"/>
        <v>5984.1783140700009</v>
      </c>
      <c r="BC50" s="66">
        <f t="shared" si="14"/>
        <v>5770.1600198899996</v>
      </c>
      <c r="BD50" s="66">
        <f t="shared" si="15"/>
        <v>0</v>
      </c>
      <c r="BE50" s="66">
        <f t="shared" si="16"/>
        <v>0</v>
      </c>
    </row>
    <row r="51" spans="1:57" outlineLevel="2">
      <c r="A51" s="37" t="s">
        <v>109</v>
      </c>
      <c r="B51" s="70">
        <v>630.23308930999997</v>
      </c>
      <c r="C51" s="70">
        <v>646.0718280000001</v>
      </c>
      <c r="D51" s="70">
        <v>439.7680064299999</v>
      </c>
      <c r="E51" s="70">
        <v>432.37988099999995</v>
      </c>
      <c r="F51" s="70">
        <v>418.7641143699999</v>
      </c>
      <c r="G51" s="70">
        <v>630.7312964500004</v>
      </c>
      <c r="H51" s="70">
        <v>225.18253695999994</v>
      </c>
      <c r="I51" s="70">
        <v>245.57982903000047</v>
      </c>
      <c r="J51" s="70">
        <v>330.66302709000001</v>
      </c>
      <c r="K51" s="70">
        <v>321.45314846999997</v>
      </c>
      <c r="L51" s="70">
        <v>571.45322124999996</v>
      </c>
      <c r="M51" s="70">
        <v>507.75613588000004</v>
      </c>
      <c r="N51" s="70">
        <f t="shared" si="2"/>
        <v>5400.0361142400006</v>
      </c>
      <c r="P51" s="66">
        <f t="shared" si="25"/>
        <v>1716.0729237400001</v>
      </c>
      <c r="Q51" s="66">
        <f t="shared" si="4"/>
        <v>1481.8752918200003</v>
      </c>
      <c r="R51" s="66">
        <f t="shared" si="5"/>
        <v>801.42539308000039</v>
      </c>
      <c r="S51" s="66">
        <f t="shared" si="6"/>
        <v>1400.6625056</v>
      </c>
      <c r="T51" s="88"/>
      <c r="U51" s="70">
        <v>391.37160574999984</v>
      </c>
      <c r="V51" s="70">
        <v>413.94129143999993</v>
      </c>
      <c r="W51" s="70">
        <v>497.43471027999993</v>
      </c>
      <c r="X51" s="70">
        <v>411.9016854499996</v>
      </c>
      <c r="Y51" s="70">
        <v>360.89222075000077</v>
      </c>
      <c r="Z51" s="70">
        <v>378.65618197000026</v>
      </c>
      <c r="AA51" s="70">
        <v>550.48257280999997</v>
      </c>
      <c r="AB51" s="70">
        <v>565.45882138000002</v>
      </c>
      <c r="AC51" s="70">
        <v>598.64966350999975</v>
      </c>
      <c r="AD51" s="70">
        <v>655.08412967000072</v>
      </c>
      <c r="AE51" s="70">
        <v>507.32707160000001</v>
      </c>
      <c r="AF51" s="70">
        <v>908.61361006000016</v>
      </c>
      <c r="AG51" s="70">
        <f t="shared" si="7"/>
        <v>6239.8135646700011</v>
      </c>
      <c r="AI51" s="66">
        <f t="shared" si="26"/>
        <v>1302.7476074699998</v>
      </c>
      <c r="AJ51" s="66">
        <f t="shared" si="21"/>
        <v>1151.4500881700005</v>
      </c>
      <c r="AK51" s="66">
        <f t="shared" si="22"/>
        <v>1714.5910576999997</v>
      </c>
      <c r="AL51" s="66">
        <f t="shared" si="23"/>
        <v>2071.0248113300008</v>
      </c>
      <c r="AM51" s="88"/>
      <c r="AN51" s="70">
        <v>2161.7128342199967</v>
      </c>
      <c r="AO51" s="70">
        <v>1764.7998773500001</v>
      </c>
      <c r="AP51" s="70">
        <v>2065.8680992800009</v>
      </c>
      <c r="AQ51" s="70">
        <v>1970.0031129499955</v>
      </c>
      <c r="AR51" s="70">
        <v>1806.9456842399982</v>
      </c>
      <c r="AS51" s="70">
        <v>2103.74938621</v>
      </c>
      <c r="AT51" s="70"/>
      <c r="AU51" s="70"/>
      <c r="AV51" s="70"/>
      <c r="AW51" s="70"/>
      <c r="AX51" s="70"/>
      <c r="AY51" s="70"/>
      <c r="AZ51" s="70">
        <f t="shared" si="12"/>
        <v>11873.078994249992</v>
      </c>
      <c r="BB51" s="66">
        <f t="shared" si="27"/>
        <v>5992.3808108499979</v>
      </c>
      <c r="BC51" s="66">
        <f t="shared" si="14"/>
        <v>5880.6981833999935</v>
      </c>
      <c r="BD51" s="66">
        <f t="shared" si="15"/>
        <v>0</v>
      </c>
      <c r="BE51" s="66">
        <f t="shared" si="16"/>
        <v>0</v>
      </c>
    </row>
    <row r="52" spans="1:57" outlineLevel="2">
      <c r="A52" s="37" t="s">
        <v>110</v>
      </c>
      <c r="B52" s="66">
        <v>59.9</v>
      </c>
      <c r="C52" s="66">
        <v>59.9</v>
      </c>
      <c r="D52" s="66">
        <v>59.9</v>
      </c>
      <c r="E52" s="66">
        <v>59.9</v>
      </c>
      <c r="F52" s="66">
        <v>77.125584000000003</v>
      </c>
      <c r="G52" s="66">
        <v>68.512792000000005</v>
      </c>
      <c r="H52" s="66">
        <v>68.512792000000005</v>
      </c>
      <c r="I52" s="66">
        <v>68.512792000000005</v>
      </c>
      <c r="J52" s="66">
        <v>68.512792000000005</v>
      </c>
      <c r="K52" s="66">
        <v>68.512792000000005</v>
      </c>
      <c r="L52" s="66">
        <v>68.512792000000005</v>
      </c>
      <c r="M52" s="66">
        <v>68.512792000000005</v>
      </c>
      <c r="N52" s="66">
        <f t="shared" si="2"/>
        <v>796.31512799999996</v>
      </c>
      <c r="P52" s="66">
        <f t="shared" si="25"/>
        <v>179.7</v>
      </c>
      <c r="Q52" s="66">
        <f t="shared" si="4"/>
        <v>205.53837600000003</v>
      </c>
      <c r="R52" s="66">
        <f t="shared" si="5"/>
        <v>205.53837600000003</v>
      </c>
      <c r="S52" s="66">
        <f t="shared" si="6"/>
        <v>205.53837600000003</v>
      </c>
      <c r="T52" s="88"/>
      <c r="U52" s="66">
        <v>68.512792000000005</v>
      </c>
      <c r="V52" s="66">
        <v>68.512792000000005</v>
      </c>
      <c r="W52" s="66">
        <v>68.512792000000005</v>
      </c>
      <c r="X52" s="66">
        <v>0</v>
      </c>
      <c r="Y52" s="66">
        <v>137.02558400000001</v>
      </c>
      <c r="Z52" s="66">
        <v>68.512792000000005</v>
      </c>
      <c r="AA52" s="66">
        <v>68.512792000000005</v>
      </c>
      <c r="AB52" s="66">
        <v>68.512792000000005</v>
      </c>
      <c r="AC52" s="66">
        <v>68.512792000000005</v>
      </c>
      <c r="AD52" s="66">
        <v>68.512792000000005</v>
      </c>
      <c r="AE52" s="66">
        <v>68.512792000000005</v>
      </c>
      <c r="AF52" s="66">
        <v>68.512792000000005</v>
      </c>
      <c r="AG52" s="66">
        <f t="shared" si="7"/>
        <v>822.153504</v>
      </c>
      <c r="AI52" s="66">
        <f t="shared" si="26"/>
        <v>205.53837600000003</v>
      </c>
      <c r="AJ52" s="66">
        <f t="shared" si="21"/>
        <v>205.53837600000003</v>
      </c>
      <c r="AK52" s="66">
        <f t="shared" si="22"/>
        <v>205.53837600000003</v>
      </c>
      <c r="AL52" s="66">
        <f t="shared" si="23"/>
        <v>205.53837600000003</v>
      </c>
      <c r="AM52" s="88"/>
      <c r="AN52" s="66">
        <v>68.512792000000005</v>
      </c>
      <c r="AO52" s="66">
        <v>77.999999999999986</v>
      </c>
      <c r="AP52" s="66">
        <v>59.025583990000001</v>
      </c>
      <c r="AQ52" s="66">
        <v>86.72883001000001</v>
      </c>
      <c r="AR52" s="66">
        <v>82.749759999999995</v>
      </c>
      <c r="AS52" s="66">
        <v>82.749759999999995</v>
      </c>
      <c r="AT52" s="66"/>
      <c r="AU52" s="66"/>
      <c r="AV52" s="66"/>
      <c r="AW52" s="66"/>
      <c r="AX52" s="66"/>
      <c r="AY52" s="66"/>
      <c r="AZ52" s="66">
        <f t="shared" si="12"/>
        <v>457.76672599999995</v>
      </c>
      <c r="BB52" s="66">
        <f t="shared" si="27"/>
        <v>205.53837598999999</v>
      </c>
      <c r="BC52" s="66">
        <f t="shared" si="14"/>
        <v>252.22835000999999</v>
      </c>
      <c r="BD52" s="66">
        <f t="shared" si="15"/>
        <v>0</v>
      </c>
      <c r="BE52" s="66">
        <f t="shared" si="16"/>
        <v>0</v>
      </c>
    </row>
    <row r="53" spans="1:57" outlineLevel="2">
      <c r="A53" s="37" t="s">
        <v>111</v>
      </c>
      <c r="B53" s="70">
        <v>0</v>
      </c>
      <c r="C53" s="70">
        <v>0</v>
      </c>
      <c r="D53" s="70">
        <v>195.14573097999997</v>
      </c>
      <c r="E53" s="70">
        <v>0</v>
      </c>
      <c r="F53" s="70">
        <v>0</v>
      </c>
      <c r="G53" s="70">
        <v>0</v>
      </c>
      <c r="H53" s="70">
        <v>0</v>
      </c>
      <c r="I53" s="70">
        <v>0</v>
      </c>
      <c r="J53" s="70">
        <v>29.87363277</v>
      </c>
      <c r="K53" s="70">
        <v>0</v>
      </c>
      <c r="L53" s="70">
        <v>50</v>
      </c>
      <c r="M53" s="70">
        <v>0</v>
      </c>
      <c r="N53" s="70">
        <f t="shared" si="2"/>
        <v>275.01936374999997</v>
      </c>
      <c r="P53" s="66">
        <f t="shared" si="25"/>
        <v>195.14573097999997</v>
      </c>
      <c r="Q53" s="66">
        <f t="shared" si="4"/>
        <v>0</v>
      </c>
      <c r="R53" s="66">
        <f t="shared" si="5"/>
        <v>29.87363277</v>
      </c>
      <c r="S53" s="66">
        <f t="shared" si="6"/>
        <v>50</v>
      </c>
      <c r="T53" s="88"/>
      <c r="U53" s="70">
        <v>0</v>
      </c>
      <c r="V53" s="70">
        <v>0</v>
      </c>
      <c r="W53" s="70">
        <v>3.7958789900000003</v>
      </c>
      <c r="X53" s="70">
        <v>0</v>
      </c>
      <c r="Y53" s="70">
        <v>0</v>
      </c>
      <c r="Z53" s="70">
        <v>0</v>
      </c>
      <c r="AA53" s="70">
        <v>281.87217525999995</v>
      </c>
      <c r="AB53" s="70">
        <v>0</v>
      </c>
      <c r="AC53" s="70">
        <v>57.258053780000004</v>
      </c>
      <c r="AD53" s="70">
        <v>0</v>
      </c>
      <c r="AE53" s="70">
        <v>0</v>
      </c>
      <c r="AF53" s="70">
        <v>0</v>
      </c>
      <c r="AG53" s="70">
        <f t="shared" si="7"/>
        <v>342.92610802999997</v>
      </c>
      <c r="AI53" s="66">
        <f t="shared" si="26"/>
        <v>3.7958789900000003</v>
      </c>
      <c r="AJ53" s="66">
        <f t="shared" si="21"/>
        <v>0</v>
      </c>
      <c r="AK53" s="66">
        <f t="shared" si="22"/>
        <v>339.13022903999996</v>
      </c>
      <c r="AL53" s="66">
        <f t="shared" si="23"/>
        <v>0</v>
      </c>
      <c r="AM53" s="88"/>
      <c r="AN53" s="70">
        <v>0</v>
      </c>
      <c r="AO53" s="70">
        <v>0</v>
      </c>
      <c r="AP53" s="70">
        <v>0</v>
      </c>
      <c r="AQ53" s="70">
        <v>59.351725000000009</v>
      </c>
      <c r="AR53" s="70">
        <v>85</v>
      </c>
      <c r="AS53" s="70">
        <v>0</v>
      </c>
      <c r="AT53" s="70"/>
      <c r="AU53" s="70"/>
      <c r="AV53" s="70"/>
      <c r="AW53" s="70"/>
      <c r="AX53" s="70"/>
      <c r="AY53" s="70"/>
      <c r="AZ53" s="70">
        <f t="shared" si="12"/>
        <v>144.35172500000002</v>
      </c>
      <c r="BB53" s="66">
        <f t="shared" si="27"/>
        <v>0</v>
      </c>
      <c r="BC53" s="66">
        <f t="shared" si="14"/>
        <v>144.35172500000002</v>
      </c>
      <c r="BD53" s="66">
        <f t="shared" si="15"/>
        <v>0</v>
      </c>
      <c r="BE53" s="66">
        <f t="shared" si="16"/>
        <v>0</v>
      </c>
    </row>
    <row r="54" spans="1:57" outlineLevel="2">
      <c r="A54" s="41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P54" s="66"/>
      <c r="Q54" s="66"/>
      <c r="R54" s="66"/>
      <c r="S54" s="66"/>
      <c r="T54" s="88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I54" s="66"/>
      <c r="AJ54" s="66"/>
      <c r="AK54" s="66"/>
      <c r="AL54" s="66"/>
      <c r="AM54" s="88"/>
      <c r="AN54" s="66"/>
      <c r="AO54" s="66"/>
      <c r="AP54" s="66"/>
      <c r="AQ54" s="66"/>
      <c r="AR54" s="66"/>
      <c r="AS54" s="66"/>
      <c r="AT54" s="66"/>
      <c r="AU54" s="66"/>
      <c r="AV54" s="66"/>
      <c r="AW54" s="66"/>
      <c r="AX54" s="66"/>
      <c r="AY54" s="66"/>
      <c r="AZ54" s="66"/>
      <c r="BB54" s="66"/>
      <c r="BC54" s="66"/>
      <c r="BD54" s="66"/>
      <c r="BE54" s="66"/>
    </row>
    <row r="55" spans="1:57" ht="15.75" outlineLevel="2">
      <c r="A55" s="39" t="s">
        <v>112</v>
      </c>
      <c r="B55" s="69">
        <v>5154.9522099099995</v>
      </c>
      <c r="C55" s="69">
        <v>5426.9834351699965</v>
      </c>
      <c r="D55" s="69">
        <v>6452.8298455200002</v>
      </c>
      <c r="E55" s="69">
        <v>5213.0063897199971</v>
      </c>
      <c r="F55" s="69">
        <v>5134.9120947200008</v>
      </c>
      <c r="G55" s="69">
        <v>6428.4288154000014</v>
      </c>
      <c r="H55" s="69">
        <v>5225.7988223800003</v>
      </c>
      <c r="I55" s="69">
        <v>4903.8835747600006</v>
      </c>
      <c r="J55" s="69">
        <v>5680.2603401600009</v>
      </c>
      <c r="K55" s="69">
        <v>5001.4316333700017</v>
      </c>
      <c r="L55" s="69">
        <v>5722.9620273000019</v>
      </c>
      <c r="M55" s="69">
        <v>11789.22187485</v>
      </c>
      <c r="N55" s="69">
        <f t="shared" si="2"/>
        <v>72134.671063260001</v>
      </c>
      <c r="P55" s="69">
        <f t="shared" si="25"/>
        <v>17034.765490599995</v>
      </c>
      <c r="Q55" s="69">
        <f t="shared" si="4"/>
        <v>16776.347299839999</v>
      </c>
      <c r="R55" s="69">
        <f t="shared" si="5"/>
        <v>15809.942737300002</v>
      </c>
      <c r="S55" s="69">
        <f t="shared" si="6"/>
        <v>22513.615535520003</v>
      </c>
      <c r="T55" s="90"/>
      <c r="U55" s="69">
        <v>5401.9175155300045</v>
      </c>
      <c r="V55" s="69">
        <v>6045.1315065899998</v>
      </c>
      <c r="W55" s="69">
        <v>7688.7938743700042</v>
      </c>
      <c r="X55" s="69">
        <v>5691.07195004</v>
      </c>
      <c r="Y55" s="69">
        <v>6343.3087213300014</v>
      </c>
      <c r="Z55" s="69">
        <v>5525.7801347900013</v>
      </c>
      <c r="AA55" s="69">
        <v>6276.1868458100007</v>
      </c>
      <c r="AB55" s="69">
        <v>6037.76837359</v>
      </c>
      <c r="AC55" s="69">
        <v>5299.3206013400013</v>
      </c>
      <c r="AD55" s="69">
        <v>6862.8496124699986</v>
      </c>
      <c r="AE55" s="69">
        <v>8200.0806840000005</v>
      </c>
      <c r="AF55" s="69">
        <v>12968.640151650005</v>
      </c>
      <c r="AG55" s="69">
        <f t="shared" si="7"/>
        <v>82340.849971510004</v>
      </c>
      <c r="AI55" s="69">
        <f t="shared" si="26"/>
        <v>19135.842896490009</v>
      </c>
      <c r="AJ55" s="69">
        <f t="shared" ref="AJ55:AJ65" si="28">+X55+Y55+Z55</f>
        <v>17560.160806160002</v>
      </c>
      <c r="AK55" s="69">
        <f t="shared" ref="AK55:AK65" si="29">+AA55+AB55+AC55</f>
        <v>17613.275820740004</v>
      </c>
      <c r="AL55" s="69">
        <f t="shared" ref="AL55:AL65" si="30">+AD55+AE55+AF55</f>
        <v>28031.570448120005</v>
      </c>
      <c r="AM55" s="90"/>
      <c r="AN55" s="69">
        <v>5692.1822792100002</v>
      </c>
      <c r="AO55" s="69">
        <v>6766.8053973100004</v>
      </c>
      <c r="AP55" s="69">
        <v>8265.5091441200002</v>
      </c>
      <c r="AQ55" s="69">
        <v>7080.3636795699986</v>
      </c>
      <c r="AR55" s="69">
        <v>6581.9949719900042</v>
      </c>
      <c r="AS55" s="69">
        <v>5498.2499876700003</v>
      </c>
      <c r="AT55" s="69"/>
      <c r="AU55" s="69"/>
      <c r="AV55" s="69"/>
      <c r="AW55" s="69"/>
      <c r="AX55" s="69"/>
      <c r="AY55" s="69"/>
      <c r="AZ55" s="69">
        <f t="shared" si="12"/>
        <v>39885.105459870007</v>
      </c>
      <c r="BB55" s="69">
        <f t="shared" si="27"/>
        <v>20724.496820640001</v>
      </c>
      <c r="BC55" s="69">
        <f t="shared" si="14"/>
        <v>19160.608639230006</v>
      </c>
      <c r="BD55" s="69">
        <f t="shared" si="15"/>
        <v>0</v>
      </c>
      <c r="BE55" s="69">
        <f t="shared" si="16"/>
        <v>0</v>
      </c>
    </row>
    <row r="56" spans="1:57" outlineLevel="2">
      <c r="A56" s="37" t="s">
        <v>113</v>
      </c>
      <c r="B56" s="70">
        <v>714.16802786000039</v>
      </c>
      <c r="C56" s="70">
        <v>555.74410986000066</v>
      </c>
      <c r="D56" s="70">
        <v>2002.67830914</v>
      </c>
      <c r="E56" s="70">
        <v>697.00801300000057</v>
      </c>
      <c r="F56" s="70">
        <v>733.22655299999997</v>
      </c>
      <c r="G56" s="70">
        <v>586.84082499999965</v>
      </c>
      <c r="H56" s="70">
        <v>468.91988199999992</v>
      </c>
      <c r="I56" s="70">
        <v>788.95972634000032</v>
      </c>
      <c r="J56" s="70">
        <v>571.82537900000045</v>
      </c>
      <c r="K56" s="70">
        <v>317.48034399999972</v>
      </c>
      <c r="L56" s="70">
        <v>1191.519555020001</v>
      </c>
      <c r="M56" s="70">
        <v>5749.1053074200008</v>
      </c>
      <c r="N56" s="70">
        <f t="shared" si="2"/>
        <v>14377.476031640002</v>
      </c>
      <c r="P56" s="66">
        <f t="shared" si="25"/>
        <v>3272.5904468600011</v>
      </c>
      <c r="Q56" s="66">
        <f t="shared" si="4"/>
        <v>2017.0753910000003</v>
      </c>
      <c r="R56" s="66">
        <f t="shared" si="5"/>
        <v>1829.7049873400006</v>
      </c>
      <c r="S56" s="66">
        <f t="shared" si="6"/>
        <v>7258.105206440001</v>
      </c>
      <c r="T56" s="88"/>
      <c r="U56" s="70">
        <v>-100.21209199999635</v>
      </c>
      <c r="V56" s="70">
        <v>908.51506286000301</v>
      </c>
      <c r="W56" s="70">
        <v>598.48968500000421</v>
      </c>
      <c r="X56" s="70">
        <v>399.221749000003</v>
      </c>
      <c r="Y56" s="70">
        <v>1122.1123900000005</v>
      </c>
      <c r="Z56" s="70">
        <v>552.67791299999988</v>
      </c>
      <c r="AA56" s="70">
        <v>1553.088182</v>
      </c>
      <c r="AB56" s="70">
        <v>843.132791</v>
      </c>
      <c r="AC56" s="70">
        <v>468.51377250000024</v>
      </c>
      <c r="AD56" s="70">
        <v>1342.0495181399997</v>
      </c>
      <c r="AE56" s="70">
        <v>2296.7372350000001</v>
      </c>
      <c r="AF56" s="70">
        <v>7095.6207810000042</v>
      </c>
      <c r="AG56" s="70">
        <f t="shared" si="7"/>
        <v>17079.946987500018</v>
      </c>
      <c r="AI56" s="66">
        <f t="shared" si="26"/>
        <v>1406.7926558600109</v>
      </c>
      <c r="AJ56" s="66">
        <f t="shared" si="28"/>
        <v>2074.0120520000032</v>
      </c>
      <c r="AK56" s="66">
        <f t="shared" si="29"/>
        <v>2864.7347455000004</v>
      </c>
      <c r="AL56" s="66">
        <f t="shared" si="30"/>
        <v>10734.407534140004</v>
      </c>
      <c r="AM56" s="88"/>
      <c r="AN56" s="70">
        <v>398.65763936999997</v>
      </c>
      <c r="AO56" s="70">
        <v>796.15691423000067</v>
      </c>
      <c r="AP56" s="70">
        <v>1011.4580405000006</v>
      </c>
      <c r="AQ56" s="70">
        <v>698.88324500000022</v>
      </c>
      <c r="AR56" s="70">
        <v>546.91542300000378</v>
      </c>
      <c r="AS56" s="70">
        <v>585.08210116999999</v>
      </c>
      <c r="AT56" s="70"/>
      <c r="AU56" s="70"/>
      <c r="AV56" s="70"/>
      <c r="AW56" s="70"/>
      <c r="AX56" s="70"/>
      <c r="AY56" s="70"/>
      <c r="AZ56" s="70">
        <f t="shared" si="12"/>
        <v>4037.1533632700057</v>
      </c>
      <c r="BB56" s="66">
        <f t="shared" si="27"/>
        <v>2206.2725941000012</v>
      </c>
      <c r="BC56" s="66">
        <f t="shared" si="14"/>
        <v>1830.880769170004</v>
      </c>
      <c r="BD56" s="66">
        <f t="shared" si="15"/>
        <v>0</v>
      </c>
      <c r="BE56" s="66">
        <f t="shared" si="16"/>
        <v>0</v>
      </c>
    </row>
    <row r="57" spans="1:57" outlineLevel="2">
      <c r="A57" s="37" t="s">
        <v>114</v>
      </c>
      <c r="B57" s="70">
        <v>253.22650299999984</v>
      </c>
      <c r="C57" s="70">
        <v>112.83089399999997</v>
      </c>
      <c r="D57" s="70">
        <v>56.138759999999962</v>
      </c>
      <c r="E57" s="70">
        <v>163.30582699999994</v>
      </c>
      <c r="F57" s="70">
        <v>89.511927999999983</v>
      </c>
      <c r="G57" s="70">
        <v>116.34092699999994</v>
      </c>
      <c r="H57" s="70">
        <v>87.146326999999957</v>
      </c>
      <c r="I57" s="70">
        <v>47.217900000000043</v>
      </c>
      <c r="J57" s="70">
        <v>204.16465399999996</v>
      </c>
      <c r="K57" s="70">
        <v>66.098827</v>
      </c>
      <c r="L57" s="70">
        <v>148.33358662999999</v>
      </c>
      <c r="M57" s="70">
        <v>622.02222240000015</v>
      </c>
      <c r="N57" s="70">
        <f t="shared" si="2"/>
        <v>1966.3383560299997</v>
      </c>
      <c r="P57" s="66">
        <f t="shared" si="25"/>
        <v>422.19615699999974</v>
      </c>
      <c r="Q57" s="66">
        <f t="shared" si="4"/>
        <v>369.15868199999989</v>
      </c>
      <c r="R57" s="66">
        <f t="shared" si="5"/>
        <v>338.52888099999996</v>
      </c>
      <c r="S57" s="66">
        <f t="shared" si="6"/>
        <v>836.45463603000007</v>
      </c>
      <c r="T57" s="88"/>
      <c r="U57" s="70">
        <v>69.740429999999918</v>
      </c>
      <c r="V57" s="70">
        <v>53.465879999999999</v>
      </c>
      <c r="W57" s="70">
        <v>104.22185500000008</v>
      </c>
      <c r="X57" s="70">
        <v>60.669380000000018</v>
      </c>
      <c r="Y57" s="70">
        <v>144.98853499999998</v>
      </c>
      <c r="Z57" s="70">
        <v>52.908380000000051</v>
      </c>
      <c r="AA57" s="70">
        <v>60.677880000000044</v>
      </c>
      <c r="AB57" s="70">
        <v>68.403379000000001</v>
      </c>
      <c r="AC57" s="70">
        <v>183.99847400000002</v>
      </c>
      <c r="AD57" s="70">
        <v>209.92467999999994</v>
      </c>
      <c r="AE57" s="70">
        <v>159.16618</v>
      </c>
      <c r="AF57" s="70">
        <v>354.21158800000012</v>
      </c>
      <c r="AG57" s="70">
        <f t="shared" si="7"/>
        <v>1522.3766410000001</v>
      </c>
      <c r="AI57" s="66">
        <f t="shared" si="26"/>
        <v>227.42816499999998</v>
      </c>
      <c r="AJ57" s="66">
        <f t="shared" si="28"/>
        <v>258.56629500000008</v>
      </c>
      <c r="AK57" s="66">
        <f t="shared" si="29"/>
        <v>313.07973300000003</v>
      </c>
      <c r="AL57" s="66">
        <f t="shared" si="30"/>
        <v>723.30244800000003</v>
      </c>
      <c r="AM57" s="88"/>
      <c r="AN57" s="70">
        <v>302.43797500000005</v>
      </c>
      <c r="AO57" s="70">
        <v>123.733667</v>
      </c>
      <c r="AP57" s="70">
        <v>43.961619999999982</v>
      </c>
      <c r="AQ57" s="70">
        <v>167.73316700000001</v>
      </c>
      <c r="AR57" s="70">
        <v>35.650000000000006</v>
      </c>
      <c r="AS57" s="70">
        <v>96.283500000000004</v>
      </c>
      <c r="AT57" s="70"/>
      <c r="AU57" s="70"/>
      <c r="AV57" s="70"/>
      <c r="AW57" s="70"/>
      <c r="AX57" s="70"/>
      <c r="AY57" s="70"/>
      <c r="AZ57" s="70">
        <f t="shared" si="12"/>
        <v>769.79992900000002</v>
      </c>
      <c r="BB57" s="66">
        <f t="shared" si="27"/>
        <v>470.133262</v>
      </c>
      <c r="BC57" s="66">
        <f t="shared" si="14"/>
        <v>299.66666700000002</v>
      </c>
      <c r="BD57" s="66">
        <f t="shared" si="15"/>
        <v>0</v>
      </c>
      <c r="BE57" s="66">
        <f t="shared" si="16"/>
        <v>0</v>
      </c>
    </row>
    <row r="58" spans="1:57" outlineLevel="2">
      <c r="A58" s="37" t="s">
        <v>115</v>
      </c>
      <c r="B58" s="70">
        <v>121.15114399999995</v>
      </c>
      <c r="C58" s="70">
        <v>123.12293700000001</v>
      </c>
      <c r="D58" s="70">
        <v>123.12293699999998</v>
      </c>
      <c r="E58" s="70">
        <v>130.73827499999999</v>
      </c>
      <c r="F58" s="70">
        <v>115.50759899999997</v>
      </c>
      <c r="G58" s="70">
        <v>122.69495499999999</v>
      </c>
      <c r="H58" s="70">
        <v>122.08016499999999</v>
      </c>
      <c r="I58" s="70">
        <v>121.943545</v>
      </c>
      <c r="J58" s="70">
        <v>122.673573</v>
      </c>
      <c r="K58" s="70">
        <v>122.95750400000003</v>
      </c>
      <c r="L58" s="70">
        <v>114.47555813000001</v>
      </c>
      <c r="M58" s="70">
        <v>140.54829187000001</v>
      </c>
      <c r="N58" s="70">
        <f t="shared" si="2"/>
        <v>1481.0164839999998</v>
      </c>
      <c r="P58" s="66">
        <f t="shared" si="25"/>
        <v>367.39701799999995</v>
      </c>
      <c r="Q58" s="66">
        <f t="shared" si="4"/>
        <v>368.94082899999995</v>
      </c>
      <c r="R58" s="66">
        <f t="shared" si="5"/>
        <v>366.69728299999997</v>
      </c>
      <c r="S58" s="66">
        <f t="shared" si="6"/>
        <v>377.98135400000007</v>
      </c>
      <c r="T58" s="88"/>
      <c r="U58" s="70">
        <v>153.696821</v>
      </c>
      <c r="V58" s="70">
        <v>123.72228900000003</v>
      </c>
      <c r="W58" s="70">
        <v>131.94923199999999</v>
      </c>
      <c r="X58" s="70">
        <v>131.94923199999999</v>
      </c>
      <c r="Y58" s="70">
        <v>131.64866799999999</v>
      </c>
      <c r="Z58" s="70">
        <v>201.96850699999999</v>
      </c>
      <c r="AA58" s="70">
        <v>25.046398000000011</v>
      </c>
      <c r="AB58" s="70">
        <v>294.90822200000002</v>
      </c>
      <c r="AC58" s="70">
        <v>49.731889000000052</v>
      </c>
      <c r="AD58" s="70">
        <v>131.44686800000002</v>
      </c>
      <c r="AE58" s="70">
        <v>-31.886444000000001</v>
      </c>
      <c r="AF58" s="70">
        <v>126.44688900000001</v>
      </c>
      <c r="AG58" s="70">
        <f t="shared" si="7"/>
        <v>1470.6285710000002</v>
      </c>
      <c r="AI58" s="66">
        <f t="shared" si="26"/>
        <v>409.36834200000004</v>
      </c>
      <c r="AJ58" s="66">
        <f t="shared" si="28"/>
        <v>465.56640699999997</v>
      </c>
      <c r="AK58" s="66">
        <f t="shared" si="29"/>
        <v>369.68650900000011</v>
      </c>
      <c r="AL58" s="66">
        <f t="shared" si="30"/>
        <v>226.00731300000004</v>
      </c>
      <c r="AM58" s="88"/>
      <c r="AN58" s="70">
        <v>129.57231800000002</v>
      </c>
      <c r="AO58" s="70">
        <v>129.54585400000005</v>
      </c>
      <c r="AP58" s="70">
        <v>89.696246000000059</v>
      </c>
      <c r="AQ58" s="70">
        <v>131.46338299999999</v>
      </c>
      <c r="AR58" s="70">
        <v>170.98918300000005</v>
      </c>
      <c r="AS58" s="70">
        <v>131.05898300000001</v>
      </c>
      <c r="AT58" s="70"/>
      <c r="AU58" s="70"/>
      <c r="AV58" s="70"/>
      <c r="AW58" s="70"/>
      <c r="AX58" s="70"/>
      <c r="AY58" s="70"/>
      <c r="AZ58" s="70">
        <f t="shared" si="12"/>
        <v>782.32596700000022</v>
      </c>
      <c r="BB58" s="66">
        <f t="shared" si="27"/>
        <v>348.81441800000016</v>
      </c>
      <c r="BC58" s="66">
        <f t="shared" si="14"/>
        <v>433.51154900000006</v>
      </c>
      <c r="BD58" s="66">
        <f t="shared" si="15"/>
        <v>0</v>
      </c>
      <c r="BE58" s="66">
        <f t="shared" si="16"/>
        <v>0</v>
      </c>
    </row>
    <row r="59" spans="1:57" outlineLevel="2">
      <c r="A59" s="37" t="s">
        <v>116</v>
      </c>
      <c r="B59" s="70">
        <v>101.24952300000024</v>
      </c>
      <c r="C59" s="70">
        <v>223.29429909999817</v>
      </c>
      <c r="D59" s="70">
        <v>261.00668956000015</v>
      </c>
      <c r="E59" s="70">
        <v>250.49042355999973</v>
      </c>
      <c r="F59" s="70">
        <v>290.44763404000003</v>
      </c>
      <c r="G59" s="70">
        <v>252.45063936000014</v>
      </c>
      <c r="H59" s="70">
        <v>173.38755534000006</v>
      </c>
      <c r="I59" s="70">
        <v>175.43367500000005</v>
      </c>
      <c r="J59" s="70">
        <v>229.09093116999998</v>
      </c>
      <c r="K59" s="70">
        <v>232.99031188000001</v>
      </c>
      <c r="L59" s="70">
        <v>158.20818453999996</v>
      </c>
      <c r="M59" s="70">
        <v>349.97180585999757</v>
      </c>
      <c r="N59" s="70">
        <f t="shared" si="2"/>
        <v>2698.0216724099955</v>
      </c>
      <c r="P59" s="66">
        <f t="shared" si="25"/>
        <v>585.55051165999862</v>
      </c>
      <c r="Q59" s="66">
        <f t="shared" si="4"/>
        <v>793.38869695999983</v>
      </c>
      <c r="R59" s="66">
        <f t="shared" si="5"/>
        <v>577.91216151000003</v>
      </c>
      <c r="S59" s="66">
        <f t="shared" si="6"/>
        <v>741.17030227999749</v>
      </c>
      <c r="T59" s="88"/>
      <c r="U59" s="70">
        <v>79.880909410000186</v>
      </c>
      <c r="V59" s="70">
        <v>253.9049645299998</v>
      </c>
      <c r="W59" s="70">
        <v>159.55807102999998</v>
      </c>
      <c r="X59" s="70">
        <v>206.97666458</v>
      </c>
      <c r="Y59" s="70">
        <v>252.28726865000004</v>
      </c>
      <c r="Z59" s="70">
        <v>225.35143402000011</v>
      </c>
      <c r="AA59" s="70">
        <v>86.612055840000025</v>
      </c>
      <c r="AB59" s="70">
        <v>272.36615418000002</v>
      </c>
      <c r="AC59" s="70">
        <v>52.098406070000124</v>
      </c>
      <c r="AD59" s="70">
        <v>531.23022499999968</v>
      </c>
      <c r="AE59" s="70">
        <v>539.18604800000003</v>
      </c>
      <c r="AF59" s="70">
        <v>290.69833386000005</v>
      </c>
      <c r="AG59" s="70">
        <f t="shared" si="7"/>
        <v>2950.1505351699998</v>
      </c>
      <c r="AI59" s="66">
        <f t="shared" si="26"/>
        <v>493.34394496999994</v>
      </c>
      <c r="AJ59" s="66">
        <f t="shared" si="28"/>
        <v>684.61536725000019</v>
      </c>
      <c r="AK59" s="66">
        <f t="shared" si="29"/>
        <v>411.07661609000019</v>
      </c>
      <c r="AL59" s="66">
        <f t="shared" si="30"/>
        <v>1361.1146068599999</v>
      </c>
      <c r="AM59" s="88"/>
      <c r="AN59" s="70">
        <v>225.40470363999992</v>
      </c>
      <c r="AO59" s="70">
        <v>242.66068849999982</v>
      </c>
      <c r="AP59" s="70">
        <v>184.77658012999996</v>
      </c>
      <c r="AQ59" s="70">
        <v>342.50509851000004</v>
      </c>
      <c r="AR59" s="70">
        <v>81.924877350000031</v>
      </c>
      <c r="AS59" s="70">
        <v>286.61944299999999</v>
      </c>
      <c r="AT59" s="70"/>
      <c r="AU59" s="70"/>
      <c r="AV59" s="70"/>
      <c r="AW59" s="70"/>
      <c r="AX59" s="70"/>
      <c r="AY59" s="70"/>
      <c r="AZ59" s="70">
        <f t="shared" si="12"/>
        <v>1363.8913911299999</v>
      </c>
      <c r="BB59" s="66">
        <f t="shared" si="27"/>
        <v>652.8419722699997</v>
      </c>
      <c r="BC59" s="66">
        <f t="shared" si="14"/>
        <v>711.04941886000006</v>
      </c>
      <c r="BD59" s="66">
        <f t="shared" si="15"/>
        <v>0</v>
      </c>
      <c r="BE59" s="66">
        <f t="shared" si="16"/>
        <v>0</v>
      </c>
    </row>
    <row r="60" spans="1:57" outlineLevel="2">
      <c r="A60" s="37" t="s">
        <v>117</v>
      </c>
      <c r="B60" s="66">
        <v>160.90468704999978</v>
      </c>
      <c r="C60" s="66">
        <v>165.92743188999992</v>
      </c>
      <c r="D60" s="66">
        <v>130.89807956999991</v>
      </c>
      <c r="E60" s="66">
        <v>43.322449550000059</v>
      </c>
      <c r="F60" s="66">
        <v>91.238913560000043</v>
      </c>
      <c r="G60" s="66">
        <v>104.50684595000013</v>
      </c>
      <c r="H60" s="66">
        <v>100.02566105000002</v>
      </c>
      <c r="I60" s="66">
        <v>65.465264750000003</v>
      </c>
      <c r="J60" s="66">
        <v>144.87767275000004</v>
      </c>
      <c r="K60" s="66">
        <v>124.82838649999999</v>
      </c>
      <c r="L60" s="66">
        <v>82.367099099999962</v>
      </c>
      <c r="M60" s="66">
        <v>101.26134164000027</v>
      </c>
      <c r="N60" s="66">
        <f t="shared" si="2"/>
        <v>1315.6238333600002</v>
      </c>
      <c r="P60" s="66">
        <f t="shared" si="25"/>
        <v>457.73019850999958</v>
      </c>
      <c r="Q60" s="66">
        <f t="shared" si="4"/>
        <v>239.06820906000024</v>
      </c>
      <c r="R60" s="66">
        <f t="shared" si="5"/>
        <v>310.36859855000006</v>
      </c>
      <c r="S60" s="66">
        <f t="shared" si="6"/>
        <v>308.45682724000022</v>
      </c>
      <c r="T60" s="88"/>
      <c r="U60" s="66">
        <v>102.91272446999993</v>
      </c>
      <c r="V60" s="66">
        <v>65.450498359999955</v>
      </c>
      <c r="W60" s="66">
        <v>80.992801510000135</v>
      </c>
      <c r="X60" s="66">
        <v>89.950390229999812</v>
      </c>
      <c r="Y60" s="66">
        <v>54.299417960000007</v>
      </c>
      <c r="Z60" s="66">
        <v>93.289578320000032</v>
      </c>
      <c r="AA60" s="66">
        <v>98.85901322999996</v>
      </c>
      <c r="AB60" s="66">
        <v>79.8335424200001</v>
      </c>
      <c r="AC60" s="66">
        <v>93.331337490000038</v>
      </c>
      <c r="AD60" s="66">
        <v>67.444353830000153</v>
      </c>
      <c r="AE60" s="66">
        <v>112.7149828</v>
      </c>
      <c r="AF60" s="66">
        <v>-126.44250184000013</v>
      </c>
      <c r="AG60" s="66">
        <f t="shared" si="7"/>
        <v>812.63613878000001</v>
      </c>
      <c r="AI60" s="66">
        <f t="shared" si="26"/>
        <v>249.35602434</v>
      </c>
      <c r="AJ60" s="66">
        <f t="shared" si="28"/>
        <v>237.53938650999984</v>
      </c>
      <c r="AK60" s="66">
        <f t="shared" si="29"/>
        <v>272.0238931400001</v>
      </c>
      <c r="AL60" s="66">
        <f t="shared" si="30"/>
        <v>53.716834790000021</v>
      </c>
      <c r="AM60" s="88"/>
      <c r="AN60" s="66">
        <v>34.327065639999979</v>
      </c>
      <c r="AO60" s="66">
        <v>64.762951060000105</v>
      </c>
      <c r="AP60" s="66">
        <v>34.191638700000006</v>
      </c>
      <c r="AQ60" s="66">
        <v>68.430564450000162</v>
      </c>
      <c r="AR60" s="66">
        <v>81.296059309999904</v>
      </c>
      <c r="AS60" s="66">
        <v>23.058318979999999</v>
      </c>
      <c r="AT60" s="66"/>
      <c r="AU60" s="66"/>
      <c r="AV60" s="66"/>
      <c r="AW60" s="66"/>
      <c r="AX60" s="66"/>
      <c r="AY60" s="66"/>
      <c r="AZ60" s="66">
        <f t="shared" si="12"/>
        <v>306.06659814000017</v>
      </c>
      <c r="BB60" s="66">
        <f t="shared" si="27"/>
        <v>133.28165540000009</v>
      </c>
      <c r="BC60" s="66">
        <f t="shared" si="14"/>
        <v>172.78494274000005</v>
      </c>
      <c r="BD60" s="66">
        <f t="shared" si="15"/>
        <v>0</v>
      </c>
      <c r="BE60" s="66">
        <f t="shared" si="16"/>
        <v>0</v>
      </c>
    </row>
    <row r="61" spans="1:57" outlineLevel="2">
      <c r="A61" s="37" t="s">
        <v>118</v>
      </c>
      <c r="B61" s="70">
        <v>1182.2958241999997</v>
      </c>
      <c r="C61" s="70">
        <v>1252.0564193800005</v>
      </c>
      <c r="D61" s="70">
        <v>1180.7356894499999</v>
      </c>
      <c r="E61" s="70">
        <v>1237.5050607299979</v>
      </c>
      <c r="F61" s="70">
        <v>1220.1776269800025</v>
      </c>
      <c r="G61" s="70">
        <v>1263.6037191200001</v>
      </c>
      <c r="H61" s="70">
        <v>1432.3088847399999</v>
      </c>
      <c r="I61" s="70">
        <v>1241.11427512</v>
      </c>
      <c r="J61" s="70">
        <v>1451.4971245000008</v>
      </c>
      <c r="K61" s="70">
        <v>1213.3092391000005</v>
      </c>
      <c r="L61" s="70">
        <v>1198.84136908</v>
      </c>
      <c r="M61" s="70">
        <v>1920.3713644799993</v>
      </c>
      <c r="N61" s="70">
        <f t="shared" si="2"/>
        <v>15793.816596880004</v>
      </c>
      <c r="P61" s="66">
        <f t="shared" si="25"/>
        <v>3615.0879330300004</v>
      </c>
      <c r="Q61" s="66">
        <f t="shared" si="4"/>
        <v>3721.2864068300005</v>
      </c>
      <c r="R61" s="66">
        <f t="shared" si="5"/>
        <v>4124.9202843600006</v>
      </c>
      <c r="S61" s="66">
        <f t="shared" si="6"/>
        <v>4332.5219726599998</v>
      </c>
      <c r="T61" s="88"/>
      <c r="U61" s="70">
        <v>1841.3504531599988</v>
      </c>
      <c r="V61" s="70">
        <v>1373.4513114599997</v>
      </c>
      <c r="W61" s="70">
        <v>1359.2149453499985</v>
      </c>
      <c r="X61" s="70">
        <v>1185.0861359699993</v>
      </c>
      <c r="Y61" s="70">
        <v>1588.7453266700011</v>
      </c>
      <c r="Z61" s="70">
        <v>1379.5176299900002</v>
      </c>
      <c r="AA61" s="70">
        <v>1491.6997398500014</v>
      </c>
      <c r="AB61" s="70">
        <v>1321.9179421700001</v>
      </c>
      <c r="AC61" s="70">
        <v>1332.8517318200002</v>
      </c>
      <c r="AD61" s="70">
        <v>1338.22520489</v>
      </c>
      <c r="AE61" s="70">
        <v>1278.0454910000001</v>
      </c>
      <c r="AF61" s="70">
        <v>1525.4637696199995</v>
      </c>
      <c r="AG61" s="70">
        <f t="shared" si="7"/>
        <v>17015.569681950001</v>
      </c>
      <c r="AI61" s="66">
        <f t="shared" si="26"/>
        <v>4574.0167099699975</v>
      </c>
      <c r="AJ61" s="66">
        <f t="shared" si="28"/>
        <v>4153.349092630001</v>
      </c>
      <c r="AK61" s="66">
        <f t="shared" si="29"/>
        <v>4146.4694138400018</v>
      </c>
      <c r="AL61" s="66">
        <f t="shared" si="30"/>
        <v>4141.7344655099996</v>
      </c>
      <c r="AM61" s="88"/>
      <c r="AN61" s="70">
        <v>1349.4626747000002</v>
      </c>
      <c r="AO61" s="70">
        <v>1738.0841551300007</v>
      </c>
      <c r="AP61" s="70">
        <v>886.46679831000029</v>
      </c>
      <c r="AQ61" s="70">
        <v>2447.0491705799991</v>
      </c>
      <c r="AR61" s="70">
        <v>1451.5981370699992</v>
      </c>
      <c r="AS61" s="70">
        <v>1596.28507094</v>
      </c>
      <c r="AT61" s="70"/>
      <c r="AU61" s="70"/>
      <c r="AV61" s="70"/>
      <c r="AW61" s="70"/>
      <c r="AX61" s="70"/>
      <c r="AY61" s="70"/>
      <c r="AZ61" s="70">
        <f t="shared" si="12"/>
        <v>9468.9460067299988</v>
      </c>
      <c r="BB61" s="66">
        <f t="shared" si="27"/>
        <v>3974.0136281400014</v>
      </c>
      <c r="BC61" s="66">
        <f t="shared" si="14"/>
        <v>5494.9323785899978</v>
      </c>
      <c r="BD61" s="66">
        <f t="shared" si="15"/>
        <v>0</v>
      </c>
      <c r="BE61" s="66">
        <f t="shared" si="16"/>
        <v>0</v>
      </c>
    </row>
    <row r="62" spans="1:57" outlineLevel="2">
      <c r="A62" s="37" t="s">
        <v>119</v>
      </c>
      <c r="B62" s="66">
        <v>1246.8455819999999</v>
      </c>
      <c r="C62" s="66">
        <v>1260.8570010000001</v>
      </c>
      <c r="D62" s="66">
        <v>1233.3250154999998</v>
      </c>
      <c r="E62" s="66">
        <v>1220.8103419999998</v>
      </c>
      <c r="F62" s="66">
        <v>1219.6191279999991</v>
      </c>
      <c r="G62" s="66">
        <v>1192.2666359999996</v>
      </c>
      <c r="H62" s="66">
        <v>1206.2089660000001</v>
      </c>
      <c r="I62" s="66">
        <v>1177.4355209999999</v>
      </c>
      <c r="J62" s="66">
        <v>1137.4609710000002</v>
      </c>
      <c r="K62" s="66">
        <v>1200.902662</v>
      </c>
      <c r="L62" s="66">
        <v>1170.8183119999999</v>
      </c>
      <c r="M62" s="66">
        <v>1161.1895760000002</v>
      </c>
      <c r="N62" s="66">
        <f t="shared" si="2"/>
        <v>14427.739712499999</v>
      </c>
      <c r="P62" s="66">
        <f t="shared" si="25"/>
        <v>3741.0275984999998</v>
      </c>
      <c r="Q62" s="66">
        <f t="shared" si="4"/>
        <v>3632.6961059999985</v>
      </c>
      <c r="R62" s="66">
        <f t="shared" si="5"/>
        <v>3521.105458</v>
      </c>
      <c r="S62" s="66">
        <f t="shared" si="6"/>
        <v>3532.9105500000001</v>
      </c>
      <c r="T62" s="88"/>
      <c r="U62" s="66">
        <v>1371.8371139999999</v>
      </c>
      <c r="V62" s="66">
        <v>1030.8260309999998</v>
      </c>
      <c r="W62" s="66">
        <v>1695.8897519999996</v>
      </c>
      <c r="X62" s="66">
        <v>1348.1151299999999</v>
      </c>
      <c r="Y62" s="66">
        <v>1370.9752539999999</v>
      </c>
      <c r="Z62" s="66">
        <v>1346.2856769999996</v>
      </c>
      <c r="AA62" s="66">
        <v>1434.6495389999998</v>
      </c>
      <c r="AB62" s="66">
        <v>1471.0299970000001</v>
      </c>
      <c r="AC62" s="66">
        <v>1436.2979459999999</v>
      </c>
      <c r="AD62" s="66">
        <v>1618.645068</v>
      </c>
      <c r="AE62" s="66">
        <v>1604.048732</v>
      </c>
      <c r="AF62" s="66">
        <v>1608.424178</v>
      </c>
      <c r="AG62" s="66">
        <f t="shared" si="7"/>
        <v>17337.024417999997</v>
      </c>
      <c r="AI62" s="66">
        <f t="shared" si="26"/>
        <v>4098.5528969999996</v>
      </c>
      <c r="AJ62" s="66">
        <f t="shared" si="28"/>
        <v>4065.3760609999999</v>
      </c>
      <c r="AK62" s="66">
        <f t="shared" si="29"/>
        <v>4341.9774819999993</v>
      </c>
      <c r="AL62" s="66">
        <f t="shared" si="30"/>
        <v>4831.1179780000002</v>
      </c>
      <c r="AM62" s="88"/>
      <c r="AN62" s="66">
        <v>1676.0072020000002</v>
      </c>
      <c r="AO62" s="66">
        <v>1690.327978</v>
      </c>
      <c r="AP62" s="66">
        <v>1689.6095269999998</v>
      </c>
      <c r="AQ62" s="66">
        <v>1694.454019</v>
      </c>
      <c r="AR62" s="66">
        <v>1862.1286659999998</v>
      </c>
      <c r="AS62" s="66">
        <v>1585.953655</v>
      </c>
      <c r="AT62" s="66"/>
      <c r="AU62" s="66"/>
      <c r="AV62" s="66"/>
      <c r="AW62" s="66"/>
      <c r="AX62" s="66"/>
      <c r="AY62" s="66"/>
      <c r="AZ62" s="66">
        <f t="shared" si="12"/>
        <v>10198.481046999999</v>
      </c>
      <c r="BB62" s="66">
        <f t="shared" si="27"/>
        <v>5055.9447069999997</v>
      </c>
      <c r="BC62" s="66">
        <f t="shared" si="14"/>
        <v>5142.5363399999997</v>
      </c>
      <c r="BD62" s="66">
        <f t="shared" si="15"/>
        <v>0</v>
      </c>
      <c r="BE62" s="66">
        <f t="shared" si="16"/>
        <v>0</v>
      </c>
    </row>
    <row r="63" spans="1:57" outlineLevel="2">
      <c r="A63" s="37" t="s">
        <v>120</v>
      </c>
      <c r="B63" s="70">
        <v>300.57573487000002</v>
      </c>
      <c r="C63" s="70">
        <v>556.33343611999999</v>
      </c>
      <c r="D63" s="70">
        <v>56.178395560000325</v>
      </c>
      <c r="E63" s="70">
        <v>314.83306344999994</v>
      </c>
      <c r="F63" s="70">
        <v>291.37498885999958</v>
      </c>
      <c r="G63" s="70">
        <v>294.90232054999962</v>
      </c>
      <c r="H63" s="70">
        <v>368.23085165000009</v>
      </c>
      <c r="I63" s="70">
        <v>372.19467837000025</v>
      </c>
      <c r="J63" s="70">
        <v>506.35722873999998</v>
      </c>
      <c r="K63" s="70">
        <v>479.34576436999953</v>
      </c>
      <c r="L63" s="70">
        <v>205.90083624999997</v>
      </c>
      <c r="M63" s="70">
        <v>364.8530912100004</v>
      </c>
      <c r="N63" s="70">
        <f t="shared" si="2"/>
        <v>4111.0803900000001</v>
      </c>
      <c r="P63" s="66">
        <f t="shared" si="25"/>
        <v>913.08756655000036</v>
      </c>
      <c r="Q63" s="66">
        <f t="shared" si="4"/>
        <v>901.11037285999919</v>
      </c>
      <c r="R63" s="66">
        <f t="shared" si="5"/>
        <v>1246.7827587600004</v>
      </c>
      <c r="S63" s="66">
        <f t="shared" si="6"/>
        <v>1050.09969183</v>
      </c>
      <c r="T63" s="88"/>
      <c r="U63" s="70">
        <v>513.27247011000009</v>
      </c>
      <c r="V63" s="70">
        <v>356.94509643000015</v>
      </c>
      <c r="W63" s="70">
        <v>411.16031489000216</v>
      </c>
      <c r="X63" s="70">
        <v>460.19440047000001</v>
      </c>
      <c r="Y63" s="70">
        <v>662.78353619000018</v>
      </c>
      <c r="Z63" s="70">
        <v>639.07827180999993</v>
      </c>
      <c r="AA63" s="70">
        <v>-56.723219509999467</v>
      </c>
      <c r="AB63" s="70">
        <v>409.76062282999999</v>
      </c>
      <c r="AC63" s="70">
        <v>106.10978394000004</v>
      </c>
      <c r="AD63" s="70">
        <v>127.99881220999981</v>
      </c>
      <c r="AE63" s="70">
        <v>831.09829630000002</v>
      </c>
      <c r="AF63" s="70">
        <v>385.63517435999989</v>
      </c>
      <c r="AG63" s="70">
        <f t="shared" si="7"/>
        <v>4847.3135600300029</v>
      </c>
      <c r="AI63" s="66">
        <f t="shared" si="26"/>
        <v>1281.3778814300024</v>
      </c>
      <c r="AJ63" s="66">
        <f t="shared" si="28"/>
        <v>1762.05620847</v>
      </c>
      <c r="AK63" s="66">
        <f t="shared" si="29"/>
        <v>459.14718726000058</v>
      </c>
      <c r="AL63" s="66">
        <f t="shared" si="30"/>
        <v>1344.7322828699996</v>
      </c>
      <c r="AM63" s="88"/>
      <c r="AN63" s="70">
        <v>221.22742613999995</v>
      </c>
      <c r="AO63" s="70">
        <v>609.15626557999974</v>
      </c>
      <c r="AP63" s="70">
        <v>336.95305161999886</v>
      </c>
      <c r="AQ63" s="70">
        <v>328.2996189299995</v>
      </c>
      <c r="AR63" s="70">
        <v>819.61394113000051</v>
      </c>
      <c r="AS63" s="70">
        <v>128.83632079</v>
      </c>
      <c r="AT63" s="70"/>
      <c r="AU63" s="70"/>
      <c r="AV63" s="70"/>
      <c r="AW63" s="70"/>
      <c r="AX63" s="70"/>
      <c r="AY63" s="70"/>
      <c r="AZ63" s="70">
        <f t="shared" si="12"/>
        <v>2444.0866241899985</v>
      </c>
      <c r="BB63" s="66">
        <f t="shared" si="27"/>
        <v>1167.3367433399985</v>
      </c>
      <c r="BC63" s="66">
        <f t="shared" si="14"/>
        <v>1276.74988085</v>
      </c>
      <c r="BD63" s="66">
        <f t="shared" si="15"/>
        <v>0</v>
      </c>
      <c r="BE63" s="66">
        <f t="shared" si="16"/>
        <v>0</v>
      </c>
    </row>
    <row r="64" spans="1:57" outlineLevel="2">
      <c r="A64" s="37" t="s">
        <v>121</v>
      </c>
      <c r="B64" s="70">
        <v>1074.5351839300006</v>
      </c>
      <c r="C64" s="70">
        <v>1046.6403498199984</v>
      </c>
      <c r="D64" s="70">
        <v>1360.0008307400001</v>
      </c>
      <c r="E64" s="70">
        <v>1025.9023684299993</v>
      </c>
      <c r="F64" s="70">
        <v>1084.02934628</v>
      </c>
      <c r="G64" s="70">
        <v>1027.1533474200021</v>
      </c>
      <c r="H64" s="70">
        <v>1072.4024926000004</v>
      </c>
      <c r="I64" s="70">
        <v>898.85198918000049</v>
      </c>
      <c r="J64" s="70">
        <v>1306.130803999999</v>
      </c>
      <c r="K64" s="70">
        <v>1243.5185945200021</v>
      </c>
      <c r="L64" s="70">
        <v>1394.4148095500002</v>
      </c>
      <c r="M64" s="70">
        <v>1452.8628519700021</v>
      </c>
      <c r="N64" s="70">
        <f t="shared" si="2"/>
        <v>13986.442968440004</v>
      </c>
      <c r="P64" s="66">
        <f t="shared" si="25"/>
        <v>3481.1763644899993</v>
      </c>
      <c r="Q64" s="66">
        <f t="shared" si="4"/>
        <v>3137.0850621300015</v>
      </c>
      <c r="R64" s="66">
        <f t="shared" si="5"/>
        <v>3277.3852857799998</v>
      </c>
      <c r="S64" s="66">
        <f t="shared" si="6"/>
        <v>4090.7962560400047</v>
      </c>
      <c r="T64" s="88"/>
      <c r="U64" s="70">
        <v>1351.4691653800026</v>
      </c>
      <c r="V64" s="70">
        <v>1787.0898549500016</v>
      </c>
      <c r="W64" s="70">
        <v>1385.0811065900004</v>
      </c>
      <c r="X64" s="70">
        <v>1217.1199987900011</v>
      </c>
      <c r="Y64" s="70">
        <v>1426.9917338600005</v>
      </c>
      <c r="Z64" s="70">
        <v>1034.7200836500017</v>
      </c>
      <c r="AA64" s="70">
        <v>1621.5152573999992</v>
      </c>
      <c r="AB64" s="70">
        <v>1275.196638990001</v>
      </c>
      <c r="AC64" s="70">
        <v>1356.6200405200013</v>
      </c>
      <c r="AD64" s="70">
        <v>1493.7198473999999</v>
      </c>
      <c r="AE64" s="70">
        <v>1411.148541</v>
      </c>
      <c r="AF64" s="70">
        <v>1643.5819396500003</v>
      </c>
      <c r="AG64" s="70">
        <f t="shared" si="7"/>
        <v>17004.254208180009</v>
      </c>
      <c r="AI64" s="66">
        <f t="shared" si="26"/>
        <v>4523.6401269200051</v>
      </c>
      <c r="AJ64" s="66">
        <f t="shared" si="28"/>
        <v>3678.8318163000031</v>
      </c>
      <c r="AK64" s="66">
        <f t="shared" si="29"/>
        <v>4253.3319369100018</v>
      </c>
      <c r="AL64" s="66">
        <f t="shared" si="30"/>
        <v>4548.4503280500003</v>
      </c>
      <c r="AM64" s="88"/>
      <c r="AN64" s="70">
        <v>1355.0852747199997</v>
      </c>
      <c r="AO64" s="70">
        <v>1372.3769238100015</v>
      </c>
      <c r="AP64" s="70">
        <v>1648.8708948600001</v>
      </c>
      <c r="AQ64" s="70">
        <v>1269.9724291000002</v>
      </c>
      <c r="AR64" s="70">
        <v>1517.2976851300002</v>
      </c>
      <c r="AS64" s="70">
        <v>1064.82359479</v>
      </c>
      <c r="AT64" s="70"/>
      <c r="AU64" s="70"/>
      <c r="AV64" s="70"/>
      <c r="AW64" s="70"/>
      <c r="AX64" s="70"/>
      <c r="AY64" s="70"/>
      <c r="AZ64" s="70">
        <f t="shared" si="12"/>
        <v>8228.426802410002</v>
      </c>
      <c r="BB64" s="66">
        <f t="shared" si="27"/>
        <v>4376.3330933900015</v>
      </c>
      <c r="BC64" s="66">
        <f t="shared" si="14"/>
        <v>3852.0937090200005</v>
      </c>
      <c r="BD64" s="66">
        <f t="shared" si="15"/>
        <v>0</v>
      </c>
      <c r="BE64" s="66">
        <f t="shared" si="16"/>
        <v>0</v>
      </c>
    </row>
    <row r="65" spans="1:57" outlineLevel="2">
      <c r="A65" s="40" t="s">
        <v>122</v>
      </c>
      <c r="B65" s="70">
        <v>0</v>
      </c>
      <c r="C65" s="70">
        <v>130.17655700000003</v>
      </c>
      <c r="D65" s="70">
        <v>48.745138999999995</v>
      </c>
      <c r="E65" s="70">
        <v>129.09056699999999</v>
      </c>
      <c r="F65" s="70">
        <v>-0.22162299999999999</v>
      </c>
      <c r="G65" s="70">
        <v>1467.6686</v>
      </c>
      <c r="H65" s="70">
        <v>195.08803699999999</v>
      </c>
      <c r="I65" s="70">
        <v>15.266999999999999</v>
      </c>
      <c r="J65" s="70">
        <v>6.1820019999999998</v>
      </c>
      <c r="K65" s="70">
        <v>0</v>
      </c>
      <c r="L65" s="70">
        <v>58.082716999999981</v>
      </c>
      <c r="M65" s="70">
        <v>-72.963977999999997</v>
      </c>
      <c r="N65" s="70">
        <f t="shared" si="2"/>
        <v>1977.1150179999997</v>
      </c>
      <c r="P65" s="66">
        <f t="shared" si="25"/>
        <v>178.92169600000003</v>
      </c>
      <c r="Q65" s="66">
        <f t="shared" si="4"/>
        <v>1596.537544</v>
      </c>
      <c r="R65" s="66">
        <f t="shared" si="5"/>
        <v>216.53703899999999</v>
      </c>
      <c r="S65" s="66">
        <f t="shared" si="6"/>
        <v>-14.881261000000016</v>
      </c>
      <c r="T65" s="88"/>
      <c r="U65" s="70">
        <v>17.969520000000003</v>
      </c>
      <c r="V65" s="70">
        <v>91.760518000000005</v>
      </c>
      <c r="W65" s="70">
        <v>1762.2361109999993</v>
      </c>
      <c r="X65" s="70">
        <v>591.78886900000134</v>
      </c>
      <c r="Y65" s="70">
        <v>-411.52340900000013</v>
      </c>
      <c r="Z65" s="70">
        <v>-1.7339999999997247E-2</v>
      </c>
      <c r="AA65" s="70">
        <v>-39.238</v>
      </c>
      <c r="AB65" s="70">
        <v>1.03</v>
      </c>
      <c r="AC65" s="70">
        <v>219.76721999999998</v>
      </c>
      <c r="AD65" s="70">
        <v>2.165035</v>
      </c>
      <c r="AE65" s="70">
        <v>-0.17837800000000001</v>
      </c>
      <c r="AF65" s="70">
        <v>65</v>
      </c>
      <c r="AG65" s="70">
        <f t="shared" si="7"/>
        <v>2300.7601460000005</v>
      </c>
      <c r="AI65" s="66">
        <f t="shared" si="26"/>
        <v>1871.9661489999992</v>
      </c>
      <c r="AJ65" s="66">
        <f t="shared" si="28"/>
        <v>180.24812000000122</v>
      </c>
      <c r="AK65" s="66">
        <f t="shared" si="29"/>
        <v>181.55921999999998</v>
      </c>
      <c r="AL65" s="66">
        <f t="shared" si="30"/>
        <v>66.986656999999994</v>
      </c>
      <c r="AM65" s="88"/>
      <c r="AN65" s="70">
        <v>0</v>
      </c>
      <c r="AO65" s="70">
        <v>0</v>
      </c>
      <c r="AP65" s="70">
        <v>2339.5247470000008</v>
      </c>
      <c r="AQ65" s="70">
        <v>-68.427016000000549</v>
      </c>
      <c r="AR65" s="70">
        <v>14.581000000000003</v>
      </c>
      <c r="AS65" s="70">
        <v>0.248999999999995</v>
      </c>
      <c r="AT65" s="70"/>
      <c r="AU65" s="70"/>
      <c r="AV65" s="70"/>
      <c r="AW65" s="70"/>
      <c r="AX65" s="70"/>
      <c r="AY65" s="70"/>
      <c r="AZ65" s="70">
        <f t="shared" si="12"/>
        <v>2285.9277310000002</v>
      </c>
      <c r="BB65" s="66">
        <f t="shared" si="27"/>
        <v>2339.5247470000008</v>
      </c>
      <c r="BC65" s="66">
        <f t="shared" si="14"/>
        <v>-53.597016000000551</v>
      </c>
      <c r="BD65" s="66">
        <f t="shared" si="15"/>
        <v>0</v>
      </c>
      <c r="BE65" s="66">
        <f t="shared" si="16"/>
        <v>0</v>
      </c>
    </row>
    <row r="66" spans="1:57" outlineLevel="2">
      <c r="A66" s="41"/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P66" s="66"/>
      <c r="Q66" s="66"/>
      <c r="R66" s="66"/>
      <c r="S66" s="66"/>
      <c r="T66" s="88"/>
      <c r="U66" s="66"/>
      <c r="V66" s="66"/>
      <c r="W66" s="66"/>
      <c r="X66" s="66"/>
      <c r="Y66" s="66"/>
      <c r="Z66" s="66"/>
      <c r="AA66" s="66"/>
      <c r="AB66" s="66"/>
      <c r="AC66" s="66"/>
      <c r="AD66" s="66"/>
      <c r="AE66" s="66"/>
      <c r="AF66" s="66"/>
      <c r="AG66" s="66"/>
      <c r="AI66" s="66"/>
      <c r="AJ66" s="66"/>
      <c r="AK66" s="66"/>
      <c r="AL66" s="66"/>
      <c r="AM66" s="88"/>
      <c r="AN66" s="66"/>
      <c r="AO66" s="66"/>
      <c r="AP66" s="66"/>
      <c r="AQ66" s="66"/>
      <c r="AR66" s="66"/>
      <c r="AS66" s="66"/>
      <c r="AT66" s="66"/>
      <c r="AU66" s="66"/>
      <c r="AV66" s="66"/>
      <c r="AW66" s="66"/>
      <c r="AX66" s="66"/>
      <c r="AY66" s="66"/>
      <c r="AZ66" s="66"/>
      <c r="BB66" s="66"/>
      <c r="BC66" s="66"/>
      <c r="BD66" s="66"/>
      <c r="BE66" s="66"/>
    </row>
    <row r="67" spans="1:57" ht="15.75" outlineLevel="2">
      <c r="A67" s="39" t="s">
        <v>123</v>
      </c>
      <c r="B67" s="69">
        <v>21900.63556009997</v>
      </c>
      <c r="C67" s="69">
        <v>22812.287766640005</v>
      </c>
      <c r="D67" s="69">
        <v>23584.825039999971</v>
      </c>
      <c r="E67" s="69">
        <v>22962.916344719983</v>
      </c>
      <c r="F67" s="69">
        <v>22078.598158249984</v>
      </c>
      <c r="G67" s="69">
        <v>22507.88090398</v>
      </c>
      <c r="H67" s="69">
        <v>22403.900403500054</v>
      </c>
      <c r="I67" s="69">
        <v>30085.318055610089</v>
      </c>
      <c r="J67" s="69">
        <v>22925.355882609983</v>
      </c>
      <c r="K67" s="69">
        <v>22633.190021650051</v>
      </c>
      <c r="L67" s="69">
        <v>21240.168946750029</v>
      </c>
      <c r="M67" s="69">
        <v>13434.42343923003</v>
      </c>
      <c r="N67" s="69">
        <f t="shared" si="2"/>
        <v>268569.50052304019</v>
      </c>
      <c r="P67" s="69">
        <f t="shared" si="25"/>
        <v>68297.74836673995</v>
      </c>
      <c r="Q67" s="69">
        <f t="shared" si="4"/>
        <v>67549.39540694996</v>
      </c>
      <c r="R67" s="69">
        <f t="shared" si="5"/>
        <v>75414.574341720116</v>
      </c>
      <c r="S67" s="69">
        <f t="shared" si="6"/>
        <v>57307.782407630104</v>
      </c>
      <c r="T67" s="90"/>
      <c r="U67" s="69">
        <v>23386.334923260081</v>
      </c>
      <c r="V67" s="69">
        <v>25556.044125030126</v>
      </c>
      <c r="W67" s="69">
        <v>29001.32962609013</v>
      </c>
      <c r="X67" s="69">
        <v>27325.830137490084</v>
      </c>
      <c r="Y67" s="69">
        <v>25530.119106320166</v>
      </c>
      <c r="Z67" s="69">
        <v>22157.221552450057</v>
      </c>
      <c r="AA67" s="69">
        <v>24659.810054089961</v>
      </c>
      <c r="AB67" s="69">
        <v>25255.454455210001</v>
      </c>
      <c r="AC67" s="69">
        <v>23967.616020270139</v>
      </c>
      <c r="AD67" s="69">
        <v>25294.03777340013</v>
      </c>
      <c r="AE67" s="69">
        <v>22894.069580090109</v>
      </c>
      <c r="AF67" s="69">
        <v>30979.443851620057</v>
      </c>
      <c r="AG67" s="69">
        <f t="shared" si="7"/>
        <v>306007.31120532105</v>
      </c>
      <c r="AI67" s="69">
        <f t="shared" si="26"/>
        <v>77943.708674380337</v>
      </c>
      <c r="AJ67" s="69">
        <f t="shared" ref="AJ67:AJ76" si="31">+X67+Y67+Z67</f>
        <v>75013.170796260296</v>
      </c>
      <c r="AK67" s="69">
        <f t="shared" ref="AK67:AK76" si="32">+AA67+AB67+AC67</f>
        <v>73882.880529570102</v>
      </c>
      <c r="AL67" s="69">
        <f>+AD67+AE67+AF67</f>
        <v>79167.5512051103</v>
      </c>
      <c r="AM67" s="90"/>
      <c r="AN67" s="69">
        <v>24355.311142400024</v>
      </c>
      <c r="AO67" s="69">
        <v>26682.671769220044</v>
      </c>
      <c r="AP67" s="69">
        <v>24019.388178310248</v>
      </c>
      <c r="AQ67" s="69">
        <v>28177.409954310053</v>
      </c>
      <c r="AR67" s="69">
        <v>24766.706962299992</v>
      </c>
      <c r="AS67" s="69">
        <v>13749.1384015601</v>
      </c>
      <c r="AT67" s="69"/>
      <c r="AU67" s="69"/>
      <c r="AV67" s="69"/>
      <c r="AW67" s="69"/>
      <c r="AX67" s="69"/>
      <c r="AY67" s="69"/>
      <c r="AZ67" s="69">
        <f t="shared" si="12"/>
        <v>141750.62640810048</v>
      </c>
      <c r="BB67" s="69">
        <f t="shared" si="27"/>
        <v>75057.371089930326</v>
      </c>
      <c r="BC67" s="69">
        <f t="shared" si="14"/>
        <v>66693.255318170151</v>
      </c>
      <c r="BD67" s="69">
        <f t="shared" si="15"/>
        <v>0</v>
      </c>
      <c r="BE67" s="69">
        <f t="shared" si="16"/>
        <v>0</v>
      </c>
    </row>
    <row r="68" spans="1:57" outlineLevel="2">
      <c r="A68" s="37" t="s">
        <v>124</v>
      </c>
      <c r="B68" s="70">
        <v>11796.104856000009</v>
      </c>
      <c r="C68" s="70">
        <v>13496.916910000027</v>
      </c>
      <c r="D68" s="70">
        <v>13814.036494999969</v>
      </c>
      <c r="E68" s="70">
        <v>13531.002882000006</v>
      </c>
      <c r="F68" s="70">
        <v>12664.138880000071</v>
      </c>
      <c r="G68" s="70">
        <v>12501.293666000071</v>
      </c>
      <c r="H68" s="70">
        <v>12237.923642000042</v>
      </c>
      <c r="I68" s="70">
        <v>12940.723388000059</v>
      </c>
      <c r="J68" s="70">
        <v>12965.827831000024</v>
      </c>
      <c r="K68" s="70">
        <v>12530.254502000071</v>
      </c>
      <c r="L68" s="70">
        <v>11821.503332850058</v>
      </c>
      <c r="M68" s="70">
        <v>12172.271064000037</v>
      </c>
      <c r="N68" s="70">
        <f t="shared" si="2"/>
        <v>152471.99744885042</v>
      </c>
      <c r="P68" s="66">
        <f t="shared" si="25"/>
        <v>39107.058261000006</v>
      </c>
      <c r="Q68" s="66">
        <f t="shared" si="4"/>
        <v>38696.43542800015</v>
      </c>
      <c r="R68" s="66">
        <f t="shared" si="5"/>
        <v>38144.474861000126</v>
      </c>
      <c r="S68" s="66">
        <f t="shared" si="6"/>
        <v>36524.028898850163</v>
      </c>
      <c r="T68" s="88"/>
      <c r="U68" s="70">
        <v>12837.97358700007</v>
      </c>
      <c r="V68" s="70">
        <v>15015.591929000135</v>
      </c>
      <c r="W68" s="70">
        <v>14942.50871000012</v>
      </c>
      <c r="X68" s="70">
        <v>14619.685006000111</v>
      </c>
      <c r="Y68" s="70">
        <v>14997.338686000105</v>
      </c>
      <c r="Z68" s="70">
        <v>11087.756666000048</v>
      </c>
      <c r="AA68" s="70">
        <v>13929.894469999988</v>
      </c>
      <c r="AB68" s="70">
        <v>14176.102802000058</v>
      </c>
      <c r="AC68" s="70">
        <v>13808.763736000103</v>
      </c>
      <c r="AD68" s="70">
        <v>14608.230244000108</v>
      </c>
      <c r="AE68" s="70">
        <v>13553.55351</v>
      </c>
      <c r="AF68" s="70">
        <v>12219.724746000016</v>
      </c>
      <c r="AG68" s="70">
        <f t="shared" si="7"/>
        <v>165797.12409200083</v>
      </c>
      <c r="AI68" s="66">
        <f t="shared" si="26"/>
        <v>42796.074226000324</v>
      </c>
      <c r="AJ68" s="66">
        <f t="shared" si="31"/>
        <v>40704.780358000266</v>
      </c>
      <c r="AK68" s="66">
        <f t="shared" si="32"/>
        <v>41914.761008000147</v>
      </c>
      <c r="AL68" s="66">
        <f>+AD68+AE68+AF68</f>
        <v>40381.50850000012</v>
      </c>
      <c r="AM68" s="88"/>
      <c r="AN68" s="70">
        <v>13509.07597300003</v>
      </c>
      <c r="AO68" s="70">
        <v>16223.530149000042</v>
      </c>
      <c r="AP68" s="70">
        <v>14675.970611000135</v>
      </c>
      <c r="AQ68" s="70">
        <v>15751.696242000098</v>
      </c>
      <c r="AR68" s="70">
        <v>14434.960830000053</v>
      </c>
      <c r="AS68" s="70">
        <v>14492.811239000001</v>
      </c>
      <c r="AT68" s="70"/>
      <c r="AU68" s="70"/>
      <c r="AV68" s="70"/>
      <c r="AW68" s="70"/>
      <c r="AX68" s="70"/>
      <c r="AY68" s="70"/>
      <c r="AZ68" s="70">
        <f t="shared" si="12"/>
        <v>89088.045044000362</v>
      </c>
      <c r="BB68" s="66">
        <f t="shared" si="27"/>
        <v>44408.576733000205</v>
      </c>
      <c r="BC68" s="66">
        <f t="shared" si="14"/>
        <v>44679.46831100015</v>
      </c>
      <c r="BD68" s="66">
        <f t="shared" si="15"/>
        <v>0</v>
      </c>
      <c r="BE68" s="66">
        <f t="shared" si="16"/>
        <v>0</v>
      </c>
    </row>
    <row r="69" spans="1:57" outlineLevel="2">
      <c r="A69" s="37" t="s">
        <v>125</v>
      </c>
      <c r="B69" s="70">
        <v>5714.1597899999833</v>
      </c>
      <c r="C69" s="70">
        <v>5031.2390409999853</v>
      </c>
      <c r="D69" s="70">
        <v>4897.5364360000394</v>
      </c>
      <c r="E69" s="70">
        <v>5009.3980669999501</v>
      </c>
      <c r="F69" s="70">
        <v>4885.2103579999566</v>
      </c>
      <c r="G69" s="70">
        <v>5450.3122649999341</v>
      </c>
      <c r="H69" s="70">
        <v>5561.6227210000106</v>
      </c>
      <c r="I69" s="70">
        <v>5414.9084359999988</v>
      </c>
      <c r="J69" s="70">
        <v>5332.7621290000097</v>
      </c>
      <c r="K69" s="70">
        <v>5596.8794280000011</v>
      </c>
      <c r="L69" s="70">
        <v>5444.919286999977</v>
      </c>
      <c r="M69" s="70">
        <v>4582.5944979999922</v>
      </c>
      <c r="N69" s="70">
        <f t="shared" si="2"/>
        <v>62921.542455999836</v>
      </c>
      <c r="P69" s="66">
        <f t="shared" si="25"/>
        <v>15642.935267000008</v>
      </c>
      <c r="Q69" s="66">
        <f t="shared" si="4"/>
        <v>15344.920689999843</v>
      </c>
      <c r="R69" s="66">
        <f t="shared" si="5"/>
        <v>16309.293286000018</v>
      </c>
      <c r="S69" s="66">
        <f t="shared" si="6"/>
        <v>15624.39321299997</v>
      </c>
      <c r="T69" s="88"/>
      <c r="U69" s="70">
        <v>6043.1771130000106</v>
      </c>
      <c r="V69" s="70">
        <v>5780.9591910000117</v>
      </c>
      <c r="W69" s="70">
        <v>4446.0567090000195</v>
      </c>
      <c r="X69" s="70">
        <v>6607.7917879999541</v>
      </c>
      <c r="Y69" s="70">
        <v>6244.9587470000215</v>
      </c>
      <c r="Z69" s="70">
        <v>6337.7441580000168</v>
      </c>
      <c r="AA69" s="70">
        <v>6058.8017210000116</v>
      </c>
      <c r="AB69" s="70">
        <v>5764.5264510000025</v>
      </c>
      <c r="AC69" s="70">
        <v>5278.6286900000177</v>
      </c>
      <c r="AD69" s="70">
        <v>5725.4613779999991</v>
      </c>
      <c r="AE69" s="70">
        <v>5341.5085550000003</v>
      </c>
      <c r="AF69" s="70">
        <v>13052.826094000031</v>
      </c>
      <c r="AG69" s="70">
        <f t="shared" si="7"/>
        <v>76682.440595000095</v>
      </c>
      <c r="AI69" s="66">
        <f t="shared" si="26"/>
        <v>16270.19301300004</v>
      </c>
      <c r="AJ69" s="66">
        <f t="shared" si="31"/>
        <v>19190.494692999993</v>
      </c>
      <c r="AK69" s="66">
        <f t="shared" si="32"/>
        <v>17101.956862000032</v>
      </c>
      <c r="AL69" s="66">
        <f>+AD69+AE69+AF69</f>
        <v>24119.796027000033</v>
      </c>
      <c r="AM69" s="88"/>
      <c r="AN69" s="70">
        <v>6011.2086609999924</v>
      </c>
      <c r="AO69" s="70">
        <v>5435.3937780000006</v>
      </c>
      <c r="AP69" s="70">
        <v>4811.3003780000709</v>
      </c>
      <c r="AQ69" s="70">
        <v>6079.2936230000305</v>
      </c>
      <c r="AR69" s="70">
        <v>5637.5117439999667</v>
      </c>
      <c r="AS69" s="70">
        <v>5013.0684600000304</v>
      </c>
      <c r="AT69" s="70"/>
      <c r="AU69" s="70"/>
      <c r="AV69" s="70"/>
      <c r="AW69" s="70"/>
      <c r="AX69" s="70"/>
      <c r="AY69" s="70"/>
      <c r="AZ69" s="70">
        <f t="shared" si="12"/>
        <v>32987.776644000092</v>
      </c>
      <c r="BB69" s="66">
        <f t="shared" si="27"/>
        <v>16257.902817000064</v>
      </c>
      <c r="BC69" s="66">
        <f t="shared" si="14"/>
        <v>16729.873827000029</v>
      </c>
      <c r="BD69" s="66">
        <f t="shared" si="15"/>
        <v>0</v>
      </c>
      <c r="BE69" s="66">
        <f t="shared" si="16"/>
        <v>0</v>
      </c>
    </row>
    <row r="70" spans="1:57" outlineLevel="2">
      <c r="A70" s="37" t="s">
        <v>126</v>
      </c>
      <c r="B70" s="70">
        <v>3374.0978219999811</v>
      </c>
      <c r="C70" s="70">
        <v>3463.1269279999951</v>
      </c>
      <c r="D70" s="70">
        <v>3583.4154969999618</v>
      </c>
      <c r="E70" s="70">
        <v>3330.1732260000272</v>
      </c>
      <c r="F70" s="70">
        <v>2996.5827999999547</v>
      </c>
      <c r="G70" s="70">
        <v>3398.4723239999935</v>
      </c>
      <c r="H70" s="70">
        <v>3390.415954000001</v>
      </c>
      <c r="I70" s="70">
        <v>10392.830144000025</v>
      </c>
      <c r="J70" s="70">
        <v>3068.6500879999503</v>
      </c>
      <c r="K70" s="70">
        <v>2789.291311999978</v>
      </c>
      <c r="L70" s="70">
        <v>2664.7799749999976</v>
      </c>
      <c r="M70" s="70">
        <v>-6539.8545349999986</v>
      </c>
      <c r="N70" s="70">
        <f t="shared" ref="N70:N119" si="33">SUM(B70:M70)</f>
        <v>35911.981534999868</v>
      </c>
      <c r="P70" s="66">
        <f t="shared" ref="P70:P100" si="34">SUM(B70:D70)</f>
        <v>10420.640246999938</v>
      </c>
      <c r="Q70" s="66">
        <f t="shared" si="4"/>
        <v>9725.2283499999758</v>
      </c>
      <c r="R70" s="66">
        <f t="shared" si="5"/>
        <v>16851.896185999976</v>
      </c>
      <c r="S70" s="66">
        <f t="shared" si="6"/>
        <v>-1085.7832480000234</v>
      </c>
      <c r="T70" s="88"/>
      <c r="U70" s="70">
        <v>3492.0664050000019</v>
      </c>
      <c r="V70" s="70">
        <v>3383.2874609999826</v>
      </c>
      <c r="W70" s="70">
        <v>7218.3318349999881</v>
      </c>
      <c r="X70" s="70">
        <v>4269.2490530000223</v>
      </c>
      <c r="Y70" s="70">
        <v>3066.9934520000334</v>
      </c>
      <c r="Z70" s="70">
        <v>3474.4203349999907</v>
      </c>
      <c r="AA70" s="70">
        <v>3127.4956709999656</v>
      </c>
      <c r="AB70" s="70">
        <v>3143.6697119999881</v>
      </c>
      <c r="AC70" s="70">
        <v>3113.115891000014</v>
      </c>
      <c r="AD70" s="70">
        <v>2717.3475640000174</v>
      </c>
      <c r="AE70" s="70">
        <v>2423.9936269999998</v>
      </c>
      <c r="AF70" s="70">
        <v>3151.0427730000124</v>
      </c>
      <c r="AG70" s="70">
        <f t="shared" ref="AG70:AG113" si="35">SUM(U70:AF70)</f>
        <v>42581.013779000023</v>
      </c>
      <c r="AI70" s="66">
        <f t="shared" ref="AI70:AI100" si="36">SUM(U70:W70)</f>
        <v>14093.685700999973</v>
      </c>
      <c r="AJ70" s="66">
        <f t="shared" si="31"/>
        <v>10810.662840000046</v>
      </c>
      <c r="AK70" s="66">
        <f t="shared" si="32"/>
        <v>9384.2812739999681</v>
      </c>
      <c r="AL70" s="66">
        <f t="shared" ref="AL70:AL113" si="37">+AD70+AE70+AF70</f>
        <v>8292.3839640000297</v>
      </c>
      <c r="AM70" s="88"/>
      <c r="AN70" s="70">
        <v>2986.5208959999991</v>
      </c>
      <c r="AO70" s="70">
        <v>3042.1640750000024</v>
      </c>
      <c r="AP70" s="70">
        <v>3166.7653190000333</v>
      </c>
      <c r="AQ70" s="70">
        <v>3320.7055069999251</v>
      </c>
      <c r="AR70" s="70">
        <v>3345.8224779999955</v>
      </c>
      <c r="AS70" s="70">
        <v>7724.7817730000161</v>
      </c>
      <c r="AT70" s="70"/>
      <c r="AU70" s="70"/>
      <c r="AV70" s="70"/>
      <c r="AW70" s="70"/>
      <c r="AX70" s="70"/>
      <c r="AY70" s="70"/>
      <c r="AZ70" s="70">
        <f t="shared" ref="AZ70:AZ90" si="38">SUM(AN70:AY70)</f>
        <v>23586.760047999971</v>
      </c>
      <c r="BB70" s="66">
        <f t="shared" ref="BB70:BB89" si="39">SUM(AN70:AP70)</f>
        <v>9195.4502900000352</v>
      </c>
      <c r="BC70" s="66">
        <f t="shared" ref="BC70:BC89" si="40">+AQ70+AR70+AS70</f>
        <v>14391.309757999938</v>
      </c>
      <c r="BD70" s="66">
        <f t="shared" ref="BD70:BD89" si="41">+AT70+AU70+AV70</f>
        <v>0</v>
      </c>
      <c r="BE70" s="66">
        <f t="shared" ref="BE70:BE89" si="42">+AW70+AX70+AY70</f>
        <v>0</v>
      </c>
    </row>
    <row r="71" spans="1:57" outlineLevel="2">
      <c r="A71" s="37" t="s">
        <v>127</v>
      </c>
      <c r="B71" s="70">
        <v>479.99918001000049</v>
      </c>
      <c r="C71" s="70">
        <v>393.46463374000007</v>
      </c>
      <c r="D71" s="70">
        <v>351.07815269999981</v>
      </c>
      <c r="E71" s="70">
        <v>462.06810100000007</v>
      </c>
      <c r="F71" s="70">
        <v>654.12651622000021</v>
      </c>
      <c r="G71" s="70">
        <v>393.39179819999987</v>
      </c>
      <c r="H71" s="70">
        <v>506.55920200000014</v>
      </c>
      <c r="I71" s="70">
        <v>429.12310570999989</v>
      </c>
      <c r="J71" s="70">
        <v>515.4521499199999</v>
      </c>
      <c r="K71" s="70">
        <v>437.33395299999972</v>
      </c>
      <c r="L71" s="70">
        <v>511.84113720000005</v>
      </c>
      <c r="M71" s="70">
        <v>888.50174766000009</v>
      </c>
      <c r="N71" s="70">
        <f t="shared" si="33"/>
        <v>6022.9396773600001</v>
      </c>
      <c r="P71" s="66">
        <f t="shared" si="34"/>
        <v>1224.5419664500005</v>
      </c>
      <c r="Q71" s="66">
        <f t="shared" ref="Q71:Q113" si="43">+E71+F71+G71</f>
        <v>1509.5864154200001</v>
      </c>
      <c r="R71" s="66">
        <f t="shared" ref="R71:R113" si="44">+H71+I71+J71</f>
        <v>1451.1344576299998</v>
      </c>
      <c r="S71" s="66">
        <f t="shared" ref="S71:S113" si="45">+K71+L71+M71</f>
        <v>1837.67683786</v>
      </c>
      <c r="T71" s="88"/>
      <c r="U71" s="70">
        <v>370.24790554999981</v>
      </c>
      <c r="V71" s="70">
        <v>488.52587499999981</v>
      </c>
      <c r="W71" s="70">
        <v>475.17901500000016</v>
      </c>
      <c r="X71" s="70">
        <v>917.91736809999975</v>
      </c>
      <c r="Y71" s="70">
        <v>6.3666503099998408</v>
      </c>
      <c r="Z71" s="70">
        <v>502.84817782999949</v>
      </c>
      <c r="AA71" s="70">
        <v>571.67779758999995</v>
      </c>
      <c r="AB71" s="70">
        <v>788.56059874999983</v>
      </c>
      <c r="AC71" s="70">
        <v>476.4665837</v>
      </c>
      <c r="AD71" s="70">
        <v>644.08158541000012</v>
      </c>
      <c r="AE71" s="70">
        <v>611.86111759999994</v>
      </c>
      <c r="AF71" s="70">
        <v>749.25115020999988</v>
      </c>
      <c r="AG71" s="70">
        <f t="shared" si="35"/>
        <v>6602.9838250499988</v>
      </c>
      <c r="AI71" s="66">
        <f t="shared" si="36"/>
        <v>1333.9527955499998</v>
      </c>
      <c r="AJ71" s="66">
        <f t="shared" si="31"/>
        <v>1427.1321962399991</v>
      </c>
      <c r="AK71" s="66">
        <f t="shared" si="32"/>
        <v>1836.7049800399998</v>
      </c>
      <c r="AL71" s="66">
        <f t="shared" si="37"/>
        <v>2005.1938532199999</v>
      </c>
      <c r="AM71" s="88"/>
      <c r="AN71" s="70">
        <v>699.11428754000008</v>
      </c>
      <c r="AO71" s="70">
        <v>661.99783380000008</v>
      </c>
      <c r="AP71" s="70">
        <v>459.54167744999995</v>
      </c>
      <c r="AQ71" s="70">
        <v>186.597537039999</v>
      </c>
      <c r="AR71" s="70">
        <v>532.97889179000026</v>
      </c>
      <c r="AS71" s="70">
        <v>490.70089000000002</v>
      </c>
      <c r="AT71" s="70"/>
      <c r="AU71" s="70"/>
      <c r="AV71" s="70"/>
      <c r="AW71" s="70"/>
      <c r="AX71" s="70"/>
      <c r="AY71" s="70"/>
      <c r="AZ71" s="70">
        <f t="shared" si="38"/>
        <v>3030.9311176199994</v>
      </c>
      <c r="BB71" s="66">
        <f t="shared" si="39"/>
        <v>1820.6537987900001</v>
      </c>
      <c r="BC71" s="66">
        <f t="shared" si="40"/>
        <v>1210.2773188299993</v>
      </c>
      <c r="BD71" s="66">
        <f t="shared" si="41"/>
        <v>0</v>
      </c>
      <c r="BE71" s="66">
        <f t="shared" si="42"/>
        <v>0</v>
      </c>
    </row>
    <row r="72" spans="1:57" outlineLevel="2">
      <c r="A72" s="37" t="s">
        <v>128</v>
      </c>
      <c r="B72" s="70">
        <v>-0.30824036000018395</v>
      </c>
      <c r="C72" s="70">
        <v>117.68803892000034</v>
      </c>
      <c r="D72" s="70">
        <v>137.20931173000037</v>
      </c>
      <c r="E72" s="70">
        <v>50.647749160000075</v>
      </c>
      <c r="F72" s="70">
        <v>358.46360101000005</v>
      </c>
      <c r="G72" s="70">
        <v>269.25791629000008</v>
      </c>
      <c r="H72" s="70">
        <v>205.45176267000011</v>
      </c>
      <c r="I72" s="70">
        <v>234.25345870999996</v>
      </c>
      <c r="J72" s="70">
        <v>373.20792258</v>
      </c>
      <c r="K72" s="70">
        <v>746.60999351999999</v>
      </c>
      <c r="L72" s="70">
        <v>297.51965509000024</v>
      </c>
      <c r="M72" s="70">
        <v>2082.1511583300003</v>
      </c>
      <c r="N72" s="70">
        <f t="shared" si="33"/>
        <v>4872.1523276500011</v>
      </c>
      <c r="P72" s="66">
        <f t="shared" si="34"/>
        <v>254.58911029000052</v>
      </c>
      <c r="Q72" s="66">
        <f t="shared" si="43"/>
        <v>678.36926646000029</v>
      </c>
      <c r="R72" s="66">
        <f t="shared" si="44"/>
        <v>812.91314396000007</v>
      </c>
      <c r="S72" s="66">
        <f t="shared" si="45"/>
        <v>3126.2808069400007</v>
      </c>
      <c r="T72" s="88"/>
      <c r="U72" s="70">
        <v>124.93650433999971</v>
      </c>
      <c r="V72" s="70">
        <v>428.83750823999992</v>
      </c>
      <c r="W72" s="70">
        <v>951.8938335600003</v>
      </c>
      <c r="X72" s="70">
        <v>362.52439118999956</v>
      </c>
      <c r="Y72" s="70">
        <v>563.07635269000048</v>
      </c>
      <c r="Z72" s="70">
        <v>318.3284549300011</v>
      </c>
      <c r="AA72" s="70">
        <v>460.46485108000036</v>
      </c>
      <c r="AB72" s="70">
        <v>718.91097468999953</v>
      </c>
      <c r="AC72" s="70">
        <v>607.2915216899994</v>
      </c>
      <c r="AD72" s="70">
        <v>843.6259300400036</v>
      </c>
      <c r="AE72" s="70">
        <v>957.13200159999997</v>
      </c>
      <c r="AF72" s="70">
        <v>793.8090683800001</v>
      </c>
      <c r="AG72" s="70">
        <f t="shared" si="35"/>
        <v>7130.8313924300037</v>
      </c>
      <c r="AI72" s="66">
        <f t="shared" si="36"/>
        <v>1505.6678461399999</v>
      </c>
      <c r="AJ72" s="66">
        <f t="shared" si="31"/>
        <v>1243.929198810001</v>
      </c>
      <c r="AK72" s="66">
        <f t="shared" si="32"/>
        <v>1786.6673474599993</v>
      </c>
      <c r="AL72" s="66">
        <f t="shared" si="37"/>
        <v>2594.5670000200034</v>
      </c>
      <c r="AM72" s="88"/>
      <c r="AN72" s="70">
        <v>537.61143282000091</v>
      </c>
      <c r="AO72" s="70">
        <v>540.58343340000022</v>
      </c>
      <c r="AP72" s="70">
        <v>554.11676351000165</v>
      </c>
      <c r="AQ72" s="70">
        <v>2130.20480185</v>
      </c>
      <c r="AR72" s="70">
        <v>207.85086869997667</v>
      </c>
      <c r="AS72" s="70">
        <v>748.46532055000296</v>
      </c>
      <c r="AT72" s="70"/>
      <c r="AU72" s="70"/>
      <c r="AV72" s="70"/>
      <c r="AW72" s="70"/>
      <c r="AX72" s="70"/>
      <c r="AY72" s="70"/>
      <c r="AZ72" s="70">
        <f t="shared" si="38"/>
        <v>4718.8326208299823</v>
      </c>
      <c r="BB72" s="66">
        <f t="shared" si="39"/>
        <v>1632.3116297300028</v>
      </c>
      <c r="BC72" s="66">
        <f t="shared" si="40"/>
        <v>3086.5209910999797</v>
      </c>
      <c r="BD72" s="66">
        <f t="shared" si="41"/>
        <v>0</v>
      </c>
      <c r="BE72" s="66">
        <f t="shared" si="42"/>
        <v>0</v>
      </c>
    </row>
    <row r="73" spans="1:57" outlineLevel="2">
      <c r="A73" s="37" t="s">
        <v>129</v>
      </c>
      <c r="B73" s="70">
        <v>56.146382370000005</v>
      </c>
      <c r="C73" s="70">
        <v>400.26508797999998</v>
      </c>
      <c r="D73" s="70">
        <v>554.75509548000002</v>
      </c>
      <c r="E73" s="70">
        <v>288.3116019199997</v>
      </c>
      <c r="F73" s="70">
        <v>227.24797999999993</v>
      </c>
      <c r="G73" s="70">
        <v>377.17903536000006</v>
      </c>
      <c r="H73" s="70">
        <v>280.17536999999999</v>
      </c>
      <c r="I73" s="70">
        <v>478.04779727999994</v>
      </c>
      <c r="J73" s="70">
        <v>321.36237690999974</v>
      </c>
      <c r="K73" s="70">
        <v>314.79110068999978</v>
      </c>
      <c r="L73" s="70">
        <v>220.09445327999993</v>
      </c>
      <c r="M73" s="70">
        <v>-87.043795609999989</v>
      </c>
      <c r="N73" s="70">
        <f t="shared" si="33"/>
        <v>3431.3324856599988</v>
      </c>
      <c r="P73" s="66">
        <f t="shared" si="34"/>
        <v>1011.1665658300001</v>
      </c>
      <c r="Q73" s="66">
        <f t="shared" si="43"/>
        <v>892.73861727999963</v>
      </c>
      <c r="R73" s="66">
        <f t="shared" si="44"/>
        <v>1079.5855441899996</v>
      </c>
      <c r="S73" s="66">
        <f t="shared" si="45"/>
        <v>447.84175835999974</v>
      </c>
      <c r="T73" s="88"/>
      <c r="U73" s="70">
        <v>115.83890930000001</v>
      </c>
      <c r="V73" s="70">
        <v>449.3861421900001</v>
      </c>
      <c r="W73" s="70">
        <v>497.83287920000015</v>
      </c>
      <c r="X73" s="70">
        <v>363.12324465000006</v>
      </c>
      <c r="Y73" s="70">
        <v>462.76109161000022</v>
      </c>
      <c r="Z73" s="70">
        <v>245.90587201000017</v>
      </c>
      <c r="AA73" s="70">
        <v>292.28640218999993</v>
      </c>
      <c r="AB73" s="70">
        <v>406.60304815000006</v>
      </c>
      <c r="AC73" s="70">
        <v>469.80048069000014</v>
      </c>
      <c r="AD73" s="70">
        <v>586.18803210999988</v>
      </c>
      <c r="AE73" s="70">
        <v>-253.1319312</v>
      </c>
      <c r="AF73" s="70">
        <v>393.66332292999982</v>
      </c>
      <c r="AG73" s="70">
        <f t="shared" si="35"/>
        <v>4030.2574938300013</v>
      </c>
      <c r="AI73" s="66">
        <f t="shared" si="36"/>
        <v>1063.0579306900004</v>
      </c>
      <c r="AJ73" s="66">
        <f t="shared" si="31"/>
        <v>1071.7902082700004</v>
      </c>
      <c r="AK73" s="66">
        <f t="shared" si="32"/>
        <v>1168.68993103</v>
      </c>
      <c r="AL73" s="66">
        <f t="shared" si="37"/>
        <v>726.71942383999976</v>
      </c>
      <c r="AM73" s="88"/>
      <c r="AN73" s="70">
        <v>347.78903584999995</v>
      </c>
      <c r="AO73" s="70">
        <v>500.90155692999997</v>
      </c>
      <c r="AP73" s="70">
        <v>414.12154783999995</v>
      </c>
      <c r="AQ73" s="70">
        <v>456.0518325500002</v>
      </c>
      <c r="AR73" s="70">
        <v>466.52268349999986</v>
      </c>
      <c r="AS73" s="70">
        <v>340.60659634000001</v>
      </c>
      <c r="AT73" s="70"/>
      <c r="AU73" s="70"/>
      <c r="AV73" s="70"/>
      <c r="AW73" s="70"/>
      <c r="AX73" s="70"/>
      <c r="AY73" s="70"/>
      <c r="AZ73" s="70">
        <f t="shared" si="38"/>
        <v>2525.99325301</v>
      </c>
      <c r="BB73" s="66">
        <f t="shared" si="39"/>
        <v>1262.8121406199998</v>
      </c>
      <c r="BC73" s="66">
        <f t="shared" si="40"/>
        <v>1263.1811123900002</v>
      </c>
      <c r="BD73" s="66">
        <f t="shared" si="41"/>
        <v>0</v>
      </c>
      <c r="BE73" s="66">
        <f t="shared" si="42"/>
        <v>0</v>
      </c>
    </row>
    <row r="74" spans="1:57" outlineLevel="2">
      <c r="A74" s="37" t="s">
        <v>130</v>
      </c>
      <c r="B74" s="70">
        <v>366.55626007999967</v>
      </c>
      <c r="C74" s="70">
        <v>-142.80320799999998</v>
      </c>
      <c r="D74" s="70">
        <v>132.28359509000001</v>
      </c>
      <c r="E74" s="70">
        <v>161.16754963999995</v>
      </c>
      <c r="F74" s="70">
        <v>154.80870601999987</v>
      </c>
      <c r="G74" s="70">
        <v>99.330089130000005</v>
      </c>
      <c r="H74" s="70">
        <v>167.0608638299999</v>
      </c>
      <c r="I74" s="70">
        <v>140.65861890999997</v>
      </c>
      <c r="J74" s="70">
        <v>135.65887420000007</v>
      </c>
      <c r="K74" s="70">
        <v>146.80216144000005</v>
      </c>
      <c r="L74" s="70">
        <v>135.66386233000014</v>
      </c>
      <c r="M74" s="70">
        <v>309.58910984999989</v>
      </c>
      <c r="N74" s="70">
        <f t="shared" si="33"/>
        <v>1806.7764825199995</v>
      </c>
      <c r="P74" s="66">
        <f t="shared" si="34"/>
        <v>356.0366471699997</v>
      </c>
      <c r="Q74" s="66">
        <f t="shared" si="43"/>
        <v>415.3063447899998</v>
      </c>
      <c r="R74" s="66">
        <f t="shared" si="44"/>
        <v>443.37835693999995</v>
      </c>
      <c r="S74" s="66">
        <f t="shared" si="45"/>
        <v>592.05513362000011</v>
      </c>
      <c r="T74" s="88"/>
      <c r="U74" s="70">
        <v>182.00812107000002</v>
      </c>
      <c r="V74" s="70">
        <v>-6.0025614000000758</v>
      </c>
      <c r="W74" s="70">
        <v>380.96174332999988</v>
      </c>
      <c r="X74" s="70">
        <v>111.66864254999996</v>
      </c>
      <c r="Y74" s="70">
        <v>208.57232470999995</v>
      </c>
      <c r="Z74" s="70">
        <v>188.06871468000008</v>
      </c>
      <c r="AA74" s="70">
        <v>220.21945522999982</v>
      </c>
      <c r="AB74" s="70">
        <v>188.03295262</v>
      </c>
      <c r="AC74" s="70">
        <v>179.18104419000008</v>
      </c>
      <c r="AD74" s="70">
        <v>115.44429284000006</v>
      </c>
      <c r="AE74" s="70">
        <v>231.88077419999999</v>
      </c>
      <c r="AF74" s="70">
        <v>464.42161110000012</v>
      </c>
      <c r="AG74" s="70">
        <f t="shared" si="35"/>
        <v>2464.4571151199998</v>
      </c>
      <c r="AI74" s="66">
        <f t="shared" si="36"/>
        <v>556.96730299999979</v>
      </c>
      <c r="AJ74" s="66">
        <f t="shared" si="31"/>
        <v>508.30968194000002</v>
      </c>
      <c r="AK74" s="66">
        <f t="shared" si="32"/>
        <v>587.43345203999991</v>
      </c>
      <c r="AL74" s="66">
        <f t="shared" si="37"/>
        <v>811.74667814000009</v>
      </c>
      <c r="AM74" s="88"/>
      <c r="AN74" s="70">
        <v>254.84034119</v>
      </c>
      <c r="AO74" s="70">
        <v>192.66803408999988</v>
      </c>
      <c r="AP74" s="70">
        <v>8.0333335099998919</v>
      </c>
      <c r="AQ74" s="70">
        <v>25.621594869999988</v>
      </c>
      <c r="AR74" s="70">
        <v>109.77287530999996</v>
      </c>
      <c r="AS74" s="70">
        <v>253.83625767000001</v>
      </c>
      <c r="AT74" s="70"/>
      <c r="AU74" s="70"/>
      <c r="AV74" s="70"/>
      <c r="AW74" s="70"/>
      <c r="AX74" s="70"/>
      <c r="AY74" s="70"/>
      <c r="AZ74" s="70">
        <f t="shared" si="38"/>
        <v>844.77243663999968</v>
      </c>
      <c r="BB74" s="66">
        <f t="shared" si="39"/>
        <v>455.5417087899998</v>
      </c>
      <c r="BC74" s="66">
        <f t="shared" si="40"/>
        <v>389.23072784999999</v>
      </c>
      <c r="BD74" s="66">
        <f t="shared" si="41"/>
        <v>0</v>
      </c>
      <c r="BE74" s="66">
        <f t="shared" si="42"/>
        <v>0</v>
      </c>
    </row>
    <row r="75" spans="1:57" outlineLevel="2">
      <c r="A75" s="37" t="s">
        <v>131</v>
      </c>
      <c r="B75" s="66">
        <v>113.87951</v>
      </c>
      <c r="C75" s="66">
        <v>52.390335</v>
      </c>
      <c r="D75" s="66">
        <v>114.510457</v>
      </c>
      <c r="E75" s="66">
        <v>130.14716799999999</v>
      </c>
      <c r="F75" s="66">
        <v>138.019317</v>
      </c>
      <c r="G75" s="66">
        <v>18.643809999999963</v>
      </c>
      <c r="H75" s="66">
        <v>54.690888000000008</v>
      </c>
      <c r="I75" s="66">
        <v>54.773107000000003</v>
      </c>
      <c r="J75" s="66">
        <v>212.43451099999999</v>
      </c>
      <c r="K75" s="66">
        <v>71.227571000000026</v>
      </c>
      <c r="L75" s="66">
        <v>143.8472440000001</v>
      </c>
      <c r="M75" s="66">
        <v>26.214192000000004</v>
      </c>
      <c r="N75" s="66">
        <f t="shared" si="33"/>
        <v>1130.77811</v>
      </c>
      <c r="P75" s="66">
        <f t="shared" si="34"/>
        <v>280.78030200000001</v>
      </c>
      <c r="Q75" s="66">
        <f t="shared" si="43"/>
        <v>286.81029499999994</v>
      </c>
      <c r="R75" s="66">
        <f t="shared" si="44"/>
        <v>321.898506</v>
      </c>
      <c r="S75" s="66">
        <f t="shared" si="45"/>
        <v>241.28900700000011</v>
      </c>
      <c r="T75" s="88"/>
      <c r="U75" s="66">
        <v>220.08637800000008</v>
      </c>
      <c r="V75" s="66">
        <v>15.458579999999998</v>
      </c>
      <c r="W75" s="66">
        <v>88.564900999999992</v>
      </c>
      <c r="X75" s="66">
        <v>73.870644000000027</v>
      </c>
      <c r="Y75" s="66">
        <v>-19.948197999999998</v>
      </c>
      <c r="Z75" s="66">
        <v>2.1491739999999986</v>
      </c>
      <c r="AA75" s="66">
        <v>-1.030314</v>
      </c>
      <c r="AB75" s="66">
        <v>35.888508999999999</v>
      </c>
      <c r="AC75" s="66">
        <v>34.368072999999995</v>
      </c>
      <c r="AD75" s="66">
        <v>53.658747000000012</v>
      </c>
      <c r="AE75" s="66">
        <v>27.271923000000001</v>
      </c>
      <c r="AF75" s="66">
        <v>154.70508600000002</v>
      </c>
      <c r="AG75" s="66">
        <f t="shared" si="35"/>
        <v>685.0435030000001</v>
      </c>
      <c r="AI75" s="66">
        <f t="shared" si="36"/>
        <v>324.10985900000003</v>
      </c>
      <c r="AJ75" s="66">
        <f t="shared" si="31"/>
        <v>56.071620000000024</v>
      </c>
      <c r="AK75" s="66">
        <f t="shared" si="32"/>
        <v>69.226268000000005</v>
      </c>
      <c r="AL75" s="66">
        <f t="shared" si="37"/>
        <v>235.63575600000004</v>
      </c>
      <c r="AM75" s="88"/>
      <c r="AN75" s="66">
        <v>9.1505149999999986</v>
      </c>
      <c r="AO75" s="66">
        <v>85.432909000000009</v>
      </c>
      <c r="AP75" s="66">
        <v>-70.461451999999994</v>
      </c>
      <c r="AQ75" s="66">
        <v>227.23881599999999</v>
      </c>
      <c r="AR75" s="66">
        <v>31.286590999999994</v>
      </c>
      <c r="AS75" s="66">
        <v>134.431411</v>
      </c>
      <c r="AT75" s="66"/>
      <c r="AU75" s="66"/>
      <c r="AV75" s="66"/>
      <c r="AW75" s="66"/>
      <c r="AX75" s="66"/>
      <c r="AY75" s="66"/>
      <c r="AZ75" s="66">
        <f t="shared" si="38"/>
        <v>417.07879000000003</v>
      </c>
      <c r="BB75" s="66">
        <f t="shared" si="39"/>
        <v>24.121972000000014</v>
      </c>
      <c r="BC75" s="66">
        <f t="shared" si="40"/>
        <v>392.956818</v>
      </c>
      <c r="BD75" s="66">
        <f t="shared" si="41"/>
        <v>0</v>
      </c>
      <c r="BE75" s="66">
        <f t="shared" si="42"/>
        <v>0</v>
      </c>
    </row>
    <row r="76" spans="1:57" outlineLevel="2">
      <c r="A76" s="41"/>
      <c r="B76" s="66"/>
      <c r="C76" s="66"/>
      <c r="D76" s="66"/>
      <c r="E76" s="66"/>
      <c r="F76" s="66"/>
      <c r="G76" s="66">
        <v>0</v>
      </c>
      <c r="H76" s="66">
        <v>0</v>
      </c>
      <c r="I76" s="66">
        <v>0</v>
      </c>
      <c r="J76" s="66">
        <v>0</v>
      </c>
      <c r="K76" s="66">
        <v>0</v>
      </c>
      <c r="L76" s="66">
        <v>0</v>
      </c>
      <c r="M76" s="66">
        <v>0</v>
      </c>
      <c r="N76" s="66">
        <f t="shared" si="33"/>
        <v>0</v>
      </c>
      <c r="P76" s="66">
        <f t="shared" si="34"/>
        <v>0</v>
      </c>
      <c r="Q76" s="66">
        <f t="shared" si="43"/>
        <v>0</v>
      </c>
      <c r="R76" s="66">
        <f t="shared" si="44"/>
        <v>0</v>
      </c>
      <c r="S76" s="66">
        <f t="shared" si="45"/>
        <v>0</v>
      </c>
      <c r="T76" s="88"/>
      <c r="U76" s="66">
        <v>0</v>
      </c>
      <c r="V76" s="66">
        <v>0</v>
      </c>
      <c r="W76" s="66">
        <v>0</v>
      </c>
      <c r="X76" s="66">
        <v>0</v>
      </c>
      <c r="Y76" s="66">
        <v>0</v>
      </c>
      <c r="Z76" s="66">
        <v>0</v>
      </c>
      <c r="AA76" s="66">
        <v>0</v>
      </c>
      <c r="AB76" s="66">
        <v>0</v>
      </c>
      <c r="AC76" s="66"/>
      <c r="AD76" s="66">
        <v>0</v>
      </c>
      <c r="AE76" s="66">
        <v>0</v>
      </c>
      <c r="AF76" s="66">
        <v>0</v>
      </c>
      <c r="AG76" s="66">
        <f t="shared" si="35"/>
        <v>0</v>
      </c>
      <c r="AI76" s="66">
        <f t="shared" si="36"/>
        <v>0</v>
      </c>
      <c r="AJ76" s="66">
        <f t="shared" si="31"/>
        <v>0</v>
      </c>
      <c r="AK76" s="66">
        <f t="shared" si="32"/>
        <v>0</v>
      </c>
      <c r="AL76" s="66">
        <f t="shared" si="37"/>
        <v>0</v>
      </c>
      <c r="AM76" s="88"/>
      <c r="AN76" s="66"/>
      <c r="AO76" s="66"/>
      <c r="AP76" s="66"/>
      <c r="AQ76" s="66"/>
      <c r="AR76" s="66"/>
      <c r="AS76" s="66"/>
      <c r="AT76" s="66"/>
      <c r="AU76" s="66"/>
      <c r="AV76" s="66"/>
      <c r="AW76" s="66"/>
      <c r="AX76" s="66"/>
      <c r="AY76" s="66"/>
      <c r="AZ76" s="66">
        <f t="shared" si="38"/>
        <v>0</v>
      </c>
      <c r="BB76" s="66">
        <f t="shared" si="39"/>
        <v>0</v>
      </c>
      <c r="BC76" s="66">
        <f t="shared" si="40"/>
        <v>0</v>
      </c>
      <c r="BD76" s="66">
        <f t="shared" si="41"/>
        <v>0</v>
      </c>
      <c r="BE76" s="66">
        <f t="shared" si="42"/>
        <v>0</v>
      </c>
    </row>
    <row r="77" spans="1:57" ht="15.75" outlineLevel="2">
      <c r="A77" s="39" t="s">
        <v>132</v>
      </c>
      <c r="B77" s="69">
        <v>0</v>
      </c>
      <c r="C77" s="69">
        <v>0</v>
      </c>
      <c r="D77" s="69">
        <v>0</v>
      </c>
      <c r="E77" s="69">
        <v>21.5</v>
      </c>
      <c r="F77" s="69">
        <v>0</v>
      </c>
      <c r="G77" s="69">
        <v>0</v>
      </c>
      <c r="H77" s="71">
        <v>0</v>
      </c>
      <c r="I77" s="71">
        <v>0</v>
      </c>
      <c r="J77" s="71">
        <v>0</v>
      </c>
      <c r="K77" s="71">
        <v>0</v>
      </c>
      <c r="L77" s="71">
        <v>0</v>
      </c>
      <c r="M77" s="71">
        <v>146.75040000000001</v>
      </c>
      <c r="N77" s="69">
        <f t="shared" si="33"/>
        <v>168.25040000000001</v>
      </c>
      <c r="P77" s="69">
        <f t="shared" si="34"/>
        <v>0</v>
      </c>
      <c r="Q77" s="69">
        <f t="shared" si="43"/>
        <v>21.5</v>
      </c>
      <c r="R77" s="69">
        <f t="shared" si="44"/>
        <v>0</v>
      </c>
      <c r="S77" s="69">
        <f t="shared" si="45"/>
        <v>146.75040000000001</v>
      </c>
      <c r="T77" s="90"/>
      <c r="U77" s="69">
        <v>0</v>
      </c>
      <c r="V77" s="69">
        <v>24.94</v>
      </c>
      <c r="W77" s="69">
        <v>0</v>
      </c>
      <c r="X77" s="69">
        <v>0</v>
      </c>
      <c r="Y77" s="69">
        <v>0</v>
      </c>
      <c r="Z77" s="69">
        <v>0</v>
      </c>
      <c r="AA77" s="69">
        <v>143.32499999999999</v>
      </c>
      <c r="AB77" s="69">
        <v>0</v>
      </c>
      <c r="AC77" s="69">
        <v>0</v>
      </c>
      <c r="AD77" s="69">
        <v>0</v>
      </c>
      <c r="AE77" s="69">
        <v>0</v>
      </c>
      <c r="AF77" s="69">
        <v>0</v>
      </c>
      <c r="AG77" s="69">
        <f t="shared" si="35"/>
        <v>168.26499999999999</v>
      </c>
      <c r="AI77" s="69">
        <f t="shared" si="36"/>
        <v>24.94</v>
      </c>
      <c r="AJ77" s="69">
        <f t="shared" ref="AJ77:AJ113" si="46">+X77+Y77+Z77</f>
        <v>0</v>
      </c>
      <c r="AK77" s="69">
        <f t="shared" ref="AK77:AK113" si="47">+AA77+AB77+AC77</f>
        <v>143.32499999999999</v>
      </c>
      <c r="AL77" s="69">
        <f t="shared" si="37"/>
        <v>0</v>
      </c>
      <c r="AM77" s="90"/>
      <c r="AN77" s="69">
        <v>0</v>
      </c>
      <c r="AO77" s="69">
        <v>0</v>
      </c>
      <c r="AP77" s="69">
        <v>27.95</v>
      </c>
      <c r="AQ77" s="69">
        <v>0</v>
      </c>
      <c r="AR77" s="69">
        <v>0</v>
      </c>
      <c r="AS77" s="69">
        <v>0</v>
      </c>
      <c r="AT77" s="69"/>
      <c r="AU77" s="69"/>
      <c r="AV77" s="69"/>
      <c r="AW77" s="69"/>
      <c r="AX77" s="69"/>
      <c r="AY77" s="69"/>
      <c r="AZ77" s="69">
        <f t="shared" si="38"/>
        <v>27.95</v>
      </c>
      <c r="BB77" s="69">
        <f t="shared" si="39"/>
        <v>27.95</v>
      </c>
      <c r="BC77" s="69">
        <f t="shared" si="40"/>
        <v>0</v>
      </c>
      <c r="BD77" s="69">
        <f t="shared" si="41"/>
        <v>0</v>
      </c>
      <c r="BE77" s="69">
        <f t="shared" si="42"/>
        <v>0</v>
      </c>
    </row>
    <row r="78" spans="1:57" outlineLevel="2">
      <c r="A78" s="37" t="s">
        <v>133</v>
      </c>
      <c r="B78" s="66">
        <v>0</v>
      </c>
      <c r="C78" s="66">
        <v>0</v>
      </c>
      <c r="D78" s="66">
        <v>0</v>
      </c>
      <c r="E78" s="66">
        <v>21.5</v>
      </c>
      <c r="F78" s="66">
        <v>0</v>
      </c>
      <c r="G78" s="66">
        <v>0</v>
      </c>
      <c r="H78" s="66">
        <v>0</v>
      </c>
      <c r="I78" s="66">
        <v>0</v>
      </c>
      <c r="J78" s="66">
        <v>0</v>
      </c>
      <c r="K78" s="66">
        <v>0</v>
      </c>
      <c r="L78" s="66">
        <v>0</v>
      </c>
      <c r="M78" s="66">
        <v>136.5</v>
      </c>
      <c r="N78" s="66">
        <f t="shared" si="33"/>
        <v>158</v>
      </c>
      <c r="P78" s="66">
        <f t="shared" si="34"/>
        <v>0</v>
      </c>
      <c r="Q78" s="66">
        <f t="shared" si="43"/>
        <v>21.5</v>
      </c>
      <c r="R78" s="66">
        <f t="shared" si="44"/>
        <v>0</v>
      </c>
      <c r="S78" s="66">
        <f t="shared" si="45"/>
        <v>136.5</v>
      </c>
      <c r="T78" s="88"/>
      <c r="U78" s="66">
        <v>0</v>
      </c>
      <c r="V78" s="66">
        <v>24.94</v>
      </c>
      <c r="W78" s="66">
        <v>0</v>
      </c>
      <c r="X78" s="66">
        <v>0</v>
      </c>
      <c r="Y78" s="66">
        <v>0</v>
      </c>
      <c r="Z78" s="66">
        <v>0</v>
      </c>
      <c r="AA78" s="66">
        <v>143.32499999999999</v>
      </c>
      <c r="AB78" s="66">
        <v>0</v>
      </c>
      <c r="AC78" s="66">
        <v>0</v>
      </c>
      <c r="AD78" s="66">
        <v>0</v>
      </c>
      <c r="AE78" s="66">
        <v>0</v>
      </c>
      <c r="AF78" s="66">
        <v>0</v>
      </c>
      <c r="AG78" s="66">
        <f t="shared" si="35"/>
        <v>168.26499999999999</v>
      </c>
      <c r="AI78" s="66">
        <f t="shared" si="36"/>
        <v>24.94</v>
      </c>
      <c r="AJ78" s="66">
        <f t="shared" si="46"/>
        <v>0</v>
      </c>
      <c r="AK78" s="66">
        <f t="shared" si="47"/>
        <v>143.32499999999999</v>
      </c>
      <c r="AL78" s="66">
        <f t="shared" si="37"/>
        <v>0</v>
      </c>
      <c r="AM78" s="88"/>
      <c r="AN78" s="66">
        <v>0</v>
      </c>
      <c r="AO78" s="66">
        <v>0</v>
      </c>
      <c r="AP78" s="66">
        <v>27.95</v>
      </c>
      <c r="AQ78" s="66">
        <v>0</v>
      </c>
      <c r="AR78" s="66">
        <v>0</v>
      </c>
      <c r="AS78" s="66">
        <v>0</v>
      </c>
      <c r="AT78" s="66"/>
      <c r="AU78" s="66"/>
      <c r="AV78" s="66"/>
      <c r="AW78" s="66"/>
      <c r="AX78" s="66"/>
      <c r="AY78" s="66"/>
      <c r="AZ78" s="66">
        <f t="shared" si="38"/>
        <v>27.95</v>
      </c>
      <c r="BB78" s="66">
        <f t="shared" si="39"/>
        <v>27.95</v>
      </c>
      <c r="BC78" s="66">
        <f t="shared" si="40"/>
        <v>0</v>
      </c>
      <c r="BD78" s="66">
        <f t="shared" si="41"/>
        <v>0</v>
      </c>
      <c r="BE78" s="66">
        <f t="shared" si="42"/>
        <v>0</v>
      </c>
    </row>
    <row r="79" spans="1:57" outlineLevel="2">
      <c r="A79" s="37" t="s">
        <v>134</v>
      </c>
      <c r="B79" s="66">
        <v>0</v>
      </c>
      <c r="C79" s="66">
        <v>0</v>
      </c>
      <c r="D79" s="66">
        <v>0</v>
      </c>
      <c r="E79" s="66">
        <v>0</v>
      </c>
      <c r="F79" s="66">
        <v>0</v>
      </c>
      <c r="G79" s="66">
        <v>0</v>
      </c>
      <c r="H79" s="66">
        <v>0</v>
      </c>
      <c r="I79" s="66">
        <v>0</v>
      </c>
      <c r="J79" s="66">
        <v>0</v>
      </c>
      <c r="K79" s="66">
        <v>0</v>
      </c>
      <c r="L79" s="66">
        <v>0</v>
      </c>
      <c r="M79" s="66">
        <v>10.250400000000001</v>
      </c>
      <c r="N79" s="66">
        <f t="shared" si="33"/>
        <v>10.250400000000001</v>
      </c>
      <c r="P79" s="66">
        <f t="shared" si="34"/>
        <v>0</v>
      </c>
      <c r="Q79" s="66">
        <f t="shared" si="43"/>
        <v>0</v>
      </c>
      <c r="R79" s="66">
        <f t="shared" si="44"/>
        <v>0</v>
      </c>
      <c r="S79" s="66">
        <f t="shared" si="45"/>
        <v>10.250400000000001</v>
      </c>
      <c r="T79" s="88"/>
      <c r="U79" s="66">
        <v>0</v>
      </c>
      <c r="V79" s="66">
        <v>0</v>
      </c>
      <c r="W79" s="66">
        <v>0</v>
      </c>
      <c r="X79" s="66">
        <v>0</v>
      </c>
      <c r="Y79" s="66">
        <v>0</v>
      </c>
      <c r="Z79" s="66">
        <v>0</v>
      </c>
      <c r="AA79" s="66">
        <v>0</v>
      </c>
      <c r="AB79" s="66">
        <v>0</v>
      </c>
      <c r="AC79" s="66">
        <v>0</v>
      </c>
      <c r="AD79" s="66">
        <v>0</v>
      </c>
      <c r="AE79" s="66">
        <v>0</v>
      </c>
      <c r="AF79" s="66">
        <v>0</v>
      </c>
      <c r="AG79" s="66">
        <f t="shared" si="35"/>
        <v>0</v>
      </c>
      <c r="AI79" s="66">
        <f t="shared" si="36"/>
        <v>0</v>
      </c>
      <c r="AJ79" s="66">
        <f t="shared" si="46"/>
        <v>0</v>
      </c>
      <c r="AK79" s="66">
        <f t="shared" si="47"/>
        <v>0</v>
      </c>
      <c r="AL79" s="66">
        <f t="shared" si="37"/>
        <v>0</v>
      </c>
      <c r="AM79" s="88"/>
      <c r="AN79" s="66">
        <v>0</v>
      </c>
      <c r="AO79" s="66">
        <v>0</v>
      </c>
      <c r="AP79" s="66">
        <v>0</v>
      </c>
      <c r="AQ79" s="66">
        <v>0</v>
      </c>
      <c r="AR79" s="66">
        <v>0</v>
      </c>
      <c r="AS79" s="66">
        <v>0</v>
      </c>
      <c r="AT79" s="66"/>
      <c r="AU79" s="66"/>
      <c r="AV79" s="66"/>
      <c r="AW79" s="66"/>
      <c r="AX79" s="66"/>
      <c r="AY79" s="66"/>
      <c r="AZ79" s="66">
        <f t="shared" si="38"/>
        <v>0</v>
      </c>
      <c r="BB79" s="66">
        <f t="shared" si="39"/>
        <v>0</v>
      </c>
      <c r="BC79" s="66">
        <f t="shared" si="40"/>
        <v>0</v>
      </c>
      <c r="BD79" s="66">
        <f t="shared" si="41"/>
        <v>0</v>
      </c>
      <c r="BE79" s="66">
        <f t="shared" si="42"/>
        <v>0</v>
      </c>
    </row>
    <row r="80" spans="1:57" outlineLevel="2">
      <c r="A80" s="41"/>
      <c r="B80" s="66"/>
      <c r="C80" s="66"/>
      <c r="D80" s="66"/>
      <c r="E80" s="66"/>
      <c r="F80" s="66"/>
      <c r="G80" s="66">
        <v>0</v>
      </c>
      <c r="H80" s="66">
        <v>0</v>
      </c>
      <c r="I80" s="66">
        <v>0</v>
      </c>
      <c r="J80" s="66">
        <v>0</v>
      </c>
      <c r="K80" s="66">
        <v>0</v>
      </c>
      <c r="L80" s="66">
        <v>0</v>
      </c>
      <c r="M80" s="66">
        <v>0</v>
      </c>
      <c r="N80" s="66">
        <f t="shared" si="33"/>
        <v>0</v>
      </c>
      <c r="P80" s="66">
        <f t="shared" si="34"/>
        <v>0</v>
      </c>
      <c r="Q80" s="66">
        <f t="shared" si="43"/>
        <v>0</v>
      </c>
      <c r="R80" s="66">
        <f t="shared" si="44"/>
        <v>0</v>
      </c>
      <c r="S80" s="66">
        <f t="shared" si="45"/>
        <v>0</v>
      </c>
      <c r="T80" s="88"/>
      <c r="U80" s="66">
        <v>0</v>
      </c>
      <c r="V80" s="66">
        <v>0</v>
      </c>
      <c r="W80" s="66">
        <v>0</v>
      </c>
      <c r="X80" s="66">
        <v>0</v>
      </c>
      <c r="Y80" s="66">
        <v>0</v>
      </c>
      <c r="Z80" s="66">
        <v>0</v>
      </c>
      <c r="AA80" s="66">
        <v>0</v>
      </c>
      <c r="AB80" s="66">
        <v>0</v>
      </c>
      <c r="AC80" s="66"/>
      <c r="AD80" s="66">
        <v>0</v>
      </c>
      <c r="AE80" s="66">
        <v>0</v>
      </c>
      <c r="AF80" s="66">
        <v>0</v>
      </c>
      <c r="AG80" s="66">
        <f t="shared" si="35"/>
        <v>0</v>
      </c>
      <c r="AI80" s="66">
        <f t="shared" si="36"/>
        <v>0</v>
      </c>
      <c r="AJ80" s="66">
        <f t="shared" si="46"/>
        <v>0</v>
      </c>
      <c r="AK80" s="66">
        <f t="shared" si="47"/>
        <v>0</v>
      </c>
      <c r="AL80" s="66">
        <f t="shared" si="37"/>
        <v>0</v>
      </c>
      <c r="AM80" s="88"/>
      <c r="AN80" s="66"/>
      <c r="AO80" s="66"/>
      <c r="AP80" s="66"/>
      <c r="AQ80" s="66"/>
      <c r="AR80" s="66"/>
      <c r="AS80" s="66"/>
      <c r="AT80" s="66"/>
      <c r="AU80" s="66"/>
      <c r="AV80" s="66"/>
      <c r="AW80" s="66"/>
      <c r="AX80" s="66"/>
      <c r="AY80" s="66"/>
      <c r="AZ80" s="66">
        <f t="shared" si="38"/>
        <v>0</v>
      </c>
      <c r="BB80" s="66">
        <f t="shared" si="39"/>
        <v>0</v>
      </c>
      <c r="BC80" s="66">
        <f t="shared" si="40"/>
        <v>0</v>
      </c>
      <c r="BD80" s="66">
        <f t="shared" si="41"/>
        <v>0</v>
      </c>
      <c r="BE80" s="66">
        <f t="shared" si="42"/>
        <v>0</v>
      </c>
    </row>
    <row r="81" spans="1:57" ht="15.75" outlineLevel="2">
      <c r="A81" s="39" t="s">
        <v>135</v>
      </c>
      <c r="B81" s="69">
        <v>-95.023221000000007</v>
      </c>
      <c r="C81" s="69">
        <v>-176.60345100000001</v>
      </c>
      <c r="D81" s="69">
        <v>-280.209541</v>
      </c>
      <c r="E81" s="69">
        <v>-185.17458366999998</v>
      </c>
      <c r="F81" s="69">
        <v>-284.99691300000001</v>
      </c>
      <c r="G81" s="69">
        <v>-212.641786</v>
      </c>
      <c r="H81" s="71">
        <v>-200.89189300000001</v>
      </c>
      <c r="I81" s="71">
        <v>-181.639826</v>
      </c>
      <c r="J81" s="71">
        <v>-238.125204</v>
      </c>
      <c r="K81" s="71">
        <v>-217.22458800000001</v>
      </c>
      <c r="L81" s="71">
        <v>-160.86528300000001</v>
      </c>
      <c r="M81" s="71">
        <v>-315.81640399999998</v>
      </c>
      <c r="N81" s="69">
        <f t="shared" si="33"/>
        <v>-2549.2126936700001</v>
      </c>
      <c r="P81" s="69">
        <f t="shared" si="34"/>
        <v>-551.83621300000004</v>
      </c>
      <c r="Q81" s="69">
        <f t="shared" si="43"/>
        <v>-682.81328267000004</v>
      </c>
      <c r="R81" s="69">
        <f t="shared" si="44"/>
        <v>-620.65692300000001</v>
      </c>
      <c r="S81" s="69">
        <f t="shared" si="45"/>
        <v>-693.90627500000005</v>
      </c>
      <c r="T81" s="90"/>
      <c r="U81" s="69">
        <v>-84.721030999999996</v>
      </c>
      <c r="V81" s="69">
        <v>0</v>
      </c>
      <c r="W81" s="69">
        <v>0</v>
      </c>
      <c r="X81" s="69">
        <v>11.659148029999999</v>
      </c>
      <c r="Y81" s="69">
        <v>0</v>
      </c>
      <c r="Z81" s="69">
        <v>0</v>
      </c>
      <c r="AA81" s="69">
        <v>-2.249171</v>
      </c>
      <c r="AB81" s="69">
        <v>-4.4958489999999998</v>
      </c>
      <c r="AC81" s="69">
        <v>-61.690776999999997</v>
      </c>
      <c r="AD81" s="69">
        <v>-9.3390269999999997</v>
      </c>
      <c r="AE81" s="69">
        <v>-59.362347999999997</v>
      </c>
      <c r="AF81" s="69">
        <v>-141.46104199999999</v>
      </c>
      <c r="AG81" s="69">
        <f t="shared" si="35"/>
        <v>-351.66009696999998</v>
      </c>
      <c r="AI81" s="69">
        <f t="shared" si="36"/>
        <v>-84.721030999999996</v>
      </c>
      <c r="AJ81" s="69">
        <f t="shared" si="46"/>
        <v>11.659148029999999</v>
      </c>
      <c r="AK81" s="69">
        <f t="shared" si="47"/>
        <v>-68.435796999999994</v>
      </c>
      <c r="AL81" s="69">
        <f t="shared" si="37"/>
        <v>-210.162417</v>
      </c>
      <c r="AM81" s="90"/>
      <c r="AN81" s="69">
        <v>-39.309133000000003</v>
      </c>
      <c r="AO81" s="69">
        <v>-25.366167000000001</v>
      </c>
      <c r="AP81" s="69">
        <v>-47.173355999999998</v>
      </c>
      <c r="AQ81" s="69">
        <v>-29.82432</v>
      </c>
      <c r="AR81" s="69">
        <v>-1.933068</v>
      </c>
      <c r="AS81" s="69">
        <v>-3.5309370000000002</v>
      </c>
      <c r="AT81" s="69"/>
      <c r="AU81" s="69"/>
      <c r="AV81" s="69"/>
      <c r="AW81" s="69"/>
      <c r="AX81" s="69"/>
      <c r="AY81" s="69"/>
      <c r="AZ81" s="69">
        <f t="shared" si="38"/>
        <v>-147.13698099999999</v>
      </c>
      <c r="BB81" s="69">
        <f t="shared" si="39"/>
        <v>-111.84865600000001</v>
      </c>
      <c r="BC81" s="69">
        <f t="shared" si="40"/>
        <v>-35.288325</v>
      </c>
      <c r="BD81" s="69">
        <f t="shared" si="41"/>
        <v>0</v>
      </c>
      <c r="BE81" s="69">
        <f t="shared" si="42"/>
        <v>0</v>
      </c>
    </row>
    <row r="82" spans="1:57" outlineLevel="2">
      <c r="A82" s="37" t="s">
        <v>136</v>
      </c>
      <c r="B82" s="66">
        <v>-95.023221000000007</v>
      </c>
      <c r="C82" s="66">
        <v>-176.60345100000001</v>
      </c>
      <c r="D82" s="66">
        <v>-280.209541</v>
      </c>
      <c r="E82" s="66">
        <v>-185.17458366999998</v>
      </c>
      <c r="F82" s="66">
        <v>-284.99691300000001</v>
      </c>
      <c r="G82" s="66">
        <v>-212.641786</v>
      </c>
      <c r="H82" s="66">
        <v>-200.89189300000001</v>
      </c>
      <c r="I82" s="66">
        <v>-181.639826</v>
      </c>
      <c r="J82" s="66">
        <v>-238.125204</v>
      </c>
      <c r="K82" s="66">
        <v>-217.22458800000001</v>
      </c>
      <c r="L82" s="66">
        <v>-160.86528300000001</v>
      </c>
      <c r="M82" s="66">
        <v>-315.81640399999998</v>
      </c>
      <c r="N82" s="66">
        <f t="shared" si="33"/>
        <v>-2549.2126936700001</v>
      </c>
      <c r="P82" s="66">
        <f t="shared" si="34"/>
        <v>-551.83621300000004</v>
      </c>
      <c r="Q82" s="66">
        <f t="shared" si="43"/>
        <v>-682.81328267000004</v>
      </c>
      <c r="R82" s="66">
        <f t="shared" si="44"/>
        <v>-620.65692300000001</v>
      </c>
      <c r="S82" s="66">
        <f t="shared" si="45"/>
        <v>-693.90627500000005</v>
      </c>
      <c r="T82" s="88"/>
      <c r="U82" s="66">
        <v>-84.721030999999996</v>
      </c>
      <c r="V82" s="66">
        <v>0</v>
      </c>
      <c r="W82" s="66">
        <v>0</v>
      </c>
      <c r="X82" s="66">
        <v>11.659148029999999</v>
      </c>
      <c r="Y82" s="66">
        <v>0</v>
      </c>
      <c r="Z82" s="66">
        <v>0</v>
      </c>
      <c r="AA82" s="66">
        <v>-2.249171</v>
      </c>
      <c r="AB82" s="66">
        <v>-4.4958489999999998</v>
      </c>
      <c r="AC82" s="66">
        <v>-61.690776999999997</v>
      </c>
      <c r="AD82" s="66">
        <v>-9.3390269999999997</v>
      </c>
      <c r="AE82" s="66">
        <v>-59.362347999999997</v>
      </c>
      <c r="AF82" s="66">
        <v>-141.46104199999999</v>
      </c>
      <c r="AG82" s="66">
        <f t="shared" si="35"/>
        <v>-351.66009696999998</v>
      </c>
      <c r="AI82" s="66">
        <f t="shared" si="36"/>
        <v>-84.721030999999996</v>
      </c>
      <c r="AJ82" s="66">
        <f t="shared" si="46"/>
        <v>11.659148029999999</v>
      </c>
      <c r="AK82" s="66">
        <f t="shared" si="47"/>
        <v>-68.435796999999994</v>
      </c>
      <c r="AL82" s="66">
        <f t="shared" si="37"/>
        <v>-210.162417</v>
      </c>
      <c r="AM82" s="88"/>
      <c r="AN82" s="66">
        <v>-39.309133000000003</v>
      </c>
      <c r="AO82" s="66">
        <v>-25.366167000000001</v>
      </c>
      <c r="AP82" s="66">
        <v>-47.173355999999998</v>
      </c>
      <c r="AQ82" s="66">
        <v>-29.82432</v>
      </c>
      <c r="AR82" s="66">
        <v>-1.933068</v>
      </c>
      <c r="AS82" s="66">
        <v>-3.5309370000000002</v>
      </c>
      <c r="AT82" s="66"/>
      <c r="AU82" s="66"/>
      <c r="AV82" s="66"/>
      <c r="AW82" s="66"/>
      <c r="AX82" s="66"/>
      <c r="AY82" s="66"/>
      <c r="AZ82" s="66">
        <f t="shared" si="38"/>
        <v>-147.13698099999999</v>
      </c>
      <c r="BB82" s="66">
        <f t="shared" si="39"/>
        <v>-111.84865600000001</v>
      </c>
      <c r="BC82" s="66">
        <f t="shared" si="40"/>
        <v>-35.288325</v>
      </c>
      <c r="BD82" s="66">
        <f t="shared" si="41"/>
        <v>0</v>
      </c>
      <c r="BE82" s="66">
        <f t="shared" si="42"/>
        <v>0</v>
      </c>
    </row>
    <row r="83" spans="1:57">
      <c r="A83" s="41"/>
      <c r="B83" s="66"/>
      <c r="C83" s="66"/>
      <c r="D83" s="66"/>
      <c r="E83" s="66"/>
      <c r="F83" s="66"/>
      <c r="G83" s="66">
        <v>0</v>
      </c>
      <c r="H83" s="66">
        <v>0</v>
      </c>
      <c r="I83" s="66">
        <v>0</v>
      </c>
      <c r="J83" s="66">
        <v>0</v>
      </c>
      <c r="K83" s="66">
        <v>0</v>
      </c>
      <c r="L83" s="66">
        <v>0</v>
      </c>
      <c r="M83" s="66">
        <v>0</v>
      </c>
      <c r="N83" s="66">
        <f t="shared" si="33"/>
        <v>0</v>
      </c>
      <c r="P83" s="66">
        <f t="shared" si="34"/>
        <v>0</v>
      </c>
      <c r="Q83" s="66">
        <f t="shared" si="43"/>
        <v>0</v>
      </c>
      <c r="R83" s="66">
        <f t="shared" si="44"/>
        <v>0</v>
      </c>
      <c r="S83" s="66">
        <f t="shared" si="45"/>
        <v>0</v>
      </c>
      <c r="T83" s="88"/>
      <c r="U83" s="66">
        <v>0</v>
      </c>
      <c r="V83" s="66">
        <v>0</v>
      </c>
      <c r="W83" s="66">
        <v>0</v>
      </c>
      <c r="X83" s="66">
        <v>0</v>
      </c>
      <c r="Y83" s="66">
        <v>0</v>
      </c>
      <c r="Z83" s="66">
        <v>0</v>
      </c>
      <c r="AA83" s="66">
        <v>0</v>
      </c>
      <c r="AB83" s="66">
        <v>0</v>
      </c>
      <c r="AC83" s="66"/>
      <c r="AD83" s="66">
        <v>0</v>
      </c>
      <c r="AE83" s="66">
        <v>0</v>
      </c>
      <c r="AF83" s="66">
        <v>0</v>
      </c>
      <c r="AG83" s="66">
        <f t="shared" si="35"/>
        <v>0</v>
      </c>
      <c r="AI83" s="66">
        <f t="shared" si="36"/>
        <v>0</v>
      </c>
      <c r="AJ83" s="66">
        <f t="shared" si="46"/>
        <v>0</v>
      </c>
      <c r="AK83" s="66">
        <f t="shared" si="47"/>
        <v>0</v>
      </c>
      <c r="AL83" s="66">
        <f t="shared" si="37"/>
        <v>0</v>
      </c>
      <c r="AM83" s="88"/>
      <c r="AN83" s="66"/>
      <c r="AO83" s="66"/>
      <c r="AP83" s="66"/>
      <c r="AQ83" s="66"/>
      <c r="AR83" s="66"/>
      <c r="AS83" s="66"/>
      <c r="AT83" s="66"/>
      <c r="AU83" s="66"/>
      <c r="AV83" s="66"/>
      <c r="AW83" s="66"/>
      <c r="AX83" s="66"/>
      <c r="AY83" s="66"/>
      <c r="AZ83" s="66">
        <f t="shared" si="38"/>
        <v>0</v>
      </c>
      <c r="BB83" s="66">
        <f t="shared" si="39"/>
        <v>0</v>
      </c>
      <c r="BC83" s="66">
        <f t="shared" si="40"/>
        <v>0</v>
      </c>
      <c r="BD83" s="66">
        <f t="shared" si="41"/>
        <v>0</v>
      </c>
      <c r="BE83" s="66">
        <f t="shared" si="42"/>
        <v>0</v>
      </c>
    </row>
    <row r="84" spans="1:57" ht="15.75">
      <c r="A84" s="42" t="s">
        <v>137</v>
      </c>
      <c r="B84" s="60">
        <v>29449.875161250035</v>
      </c>
      <c r="C84" s="60">
        <v>53851.903235039877</v>
      </c>
      <c r="D84" s="60">
        <v>29853.98647127008</v>
      </c>
      <c r="E84" s="60">
        <v>32301.578888360003</v>
      </c>
      <c r="F84" s="60">
        <v>37854.722352699973</v>
      </c>
      <c r="G84" s="60">
        <v>27642.182862099929</v>
      </c>
      <c r="H84" s="60">
        <v>43184.674660270015</v>
      </c>
      <c r="I84" s="60">
        <v>44584.49628795989</v>
      </c>
      <c r="J84" s="60">
        <v>25101.059251249972</v>
      </c>
      <c r="K84" s="60">
        <v>89203.805166309947</v>
      </c>
      <c r="L84" s="60">
        <v>34304.962521899884</v>
      </c>
      <c r="M84" s="60">
        <v>44918.261603059902</v>
      </c>
      <c r="N84" s="60">
        <f t="shared" si="33"/>
        <v>492251.50846146955</v>
      </c>
      <c r="P84" s="60">
        <f t="shared" si="34"/>
        <v>113155.76486755999</v>
      </c>
      <c r="Q84" s="60">
        <f t="shared" si="43"/>
        <v>97798.484103159906</v>
      </c>
      <c r="R84" s="60">
        <f t="shared" si="44"/>
        <v>112870.23019947988</v>
      </c>
      <c r="S84" s="60">
        <f t="shared" si="45"/>
        <v>168427.02929126972</v>
      </c>
      <c r="T84" s="84"/>
      <c r="U84" s="60">
        <v>26857.566821699918</v>
      </c>
      <c r="V84" s="60">
        <v>23719.279599539906</v>
      </c>
      <c r="W84" s="60">
        <v>17690.750379359888</v>
      </c>
      <c r="X84" s="60">
        <v>24592.9401123799</v>
      </c>
      <c r="Y84" s="60">
        <v>29795.150939179846</v>
      </c>
      <c r="Z84" s="60">
        <v>29542.43180559983</v>
      </c>
      <c r="AA84" s="60">
        <v>23323.75064642998</v>
      </c>
      <c r="AB84" s="60">
        <v>32112.8106557299</v>
      </c>
      <c r="AC84" s="60">
        <v>32837.726890449863</v>
      </c>
      <c r="AD84" s="60">
        <v>31598.353794089853</v>
      </c>
      <c r="AE84" s="60">
        <v>46895.703747189822</v>
      </c>
      <c r="AF84" s="60">
        <v>35339.983635169905</v>
      </c>
      <c r="AG84" s="60">
        <f t="shared" si="35"/>
        <v>354306.44902681868</v>
      </c>
      <c r="AI84" s="60">
        <f t="shared" si="36"/>
        <v>68267.596800599713</v>
      </c>
      <c r="AJ84" s="60">
        <f t="shared" si="46"/>
        <v>83930.52285715958</v>
      </c>
      <c r="AK84" s="60">
        <f t="shared" si="47"/>
        <v>88274.288192609747</v>
      </c>
      <c r="AL84" s="60">
        <f t="shared" si="37"/>
        <v>113834.04117644958</v>
      </c>
      <c r="AM84" s="84"/>
      <c r="AN84" s="60">
        <v>29921.767756929927</v>
      </c>
      <c r="AO84" s="60">
        <v>35995.080590910075</v>
      </c>
      <c r="AP84" s="60">
        <v>33393.04808703973</v>
      </c>
      <c r="AQ84" s="60">
        <v>25471.269367789995</v>
      </c>
      <c r="AR84" s="60">
        <v>47380.189160000053</v>
      </c>
      <c r="AS84" s="60">
        <v>55661.799568149887</v>
      </c>
      <c r="AT84" s="60"/>
      <c r="AU84" s="60"/>
      <c r="AV84" s="60"/>
      <c r="AW84" s="60"/>
      <c r="AX84" s="60"/>
      <c r="AY84" s="60"/>
      <c r="AZ84" s="60">
        <f t="shared" si="38"/>
        <v>227823.15453081968</v>
      </c>
      <c r="BB84" s="60">
        <f t="shared" si="39"/>
        <v>99309.896434879731</v>
      </c>
      <c r="BC84" s="60">
        <f t="shared" si="40"/>
        <v>128513.25809593993</v>
      </c>
      <c r="BD84" s="60">
        <f t="shared" si="41"/>
        <v>0</v>
      </c>
      <c r="BE84" s="60">
        <f t="shared" si="42"/>
        <v>0</v>
      </c>
    </row>
    <row r="85" spans="1:57">
      <c r="A85" s="43" t="s">
        <v>138</v>
      </c>
      <c r="B85" s="44">
        <v>0.27249607834014622</v>
      </c>
      <c r="C85" s="44">
        <v>0.39494840513391438</v>
      </c>
      <c r="D85" s="44">
        <v>0.26534587873143384</v>
      </c>
      <c r="E85" s="44">
        <v>0.28069287477173149</v>
      </c>
      <c r="F85" s="44">
        <v>0.31923490434819018</v>
      </c>
      <c r="G85" s="44">
        <v>0.23703366159773206</v>
      </c>
      <c r="H85" s="44">
        <v>0.34887210434458094</v>
      </c>
      <c r="I85" s="44">
        <v>0.32998927164661579</v>
      </c>
      <c r="J85" s="44">
        <v>0.22298752022426263</v>
      </c>
      <c r="K85" s="44">
        <v>0.50343474802182953</v>
      </c>
      <c r="L85" s="44">
        <v>0.27206415768043496</v>
      </c>
      <c r="M85" s="44">
        <v>0.33351462018544337</v>
      </c>
      <c r="N85" s="44">
        <f t="shared" si="33"/>
        <v>3.7806142250263153</v>
      </c>
      <c r="P85" s="44">
        <f t="shared" si="34"/>
        <v>0.93279036220549449</v>
      </c>
      <c r="Q85" s="44">
        <f t="shared" si="43"/>
        <v>0.83696144071765377</v>
      </c>
      <c r="R85" s="44">
        <f t="shared" si="44"/>
        <v>0.90184889621545938</v>
      </c>
      <c r="S85" s="44">
        <f t="shared" si="45"/>
        <v>1.1090135258877079</v>
      </c>
      <c r="T85" s="91"/>
      <c r="U85" s="44">
        <v>0.24337104659185552</v>
      </c>
      <c r="V85" s="44">
        <v>0.20145921451945106</v>
      </c>
      <c r="W85" s="44">
        <v>0.14091337850211463</v>
      </c>
      <c r="X85" s="44">
        <v>0.20304364292847099</v>
      </c>
      <c r="Y85" s="44">
        <v>0.24212562029509521</v>
      </c>
      <c r="Z85" s="44">
        <v>0.22553077616984529</v>
      </c>
      <c r="AA85" s="44">
        <v>0.18845936936970581</v>
      </c>
      <c r="AB85" s="44">
        <v>0.246386017901469</v>
      </c>
      <c r="AC85" s="44">
        <v>0.26037315544467471</v>
      </c>
      <c r="AD85" s="44">
        <v>0.2447145572566079</v>
      </c>
      <c r="AE85" s="44">
        <v>0.29557031644373138</v>
      </c>
      <c r="AF85" s="44">
        <v>0.22664206997438485</v>
      </c>
      <c r="AG85" s="44">
        <f t="shared" si="35"/>
        <v>2.7185891653974066</v>
      </c>
      <c r="AI85" s="44">
        <f t="shared" si="36"/>
        <v>0.58574363961342124</v>
      </c>
      <c r="AJ85" s="44">
        <f t="shared" si="46"/>
        <v>0.6707000393934115</v>
      </c>
      <c r="AK85" s="44">
        <f t="shared" si="47"/>
        <v>0.69521854271584949</v>
      </c>
      <c r="AL85" s="44">
        <f t="shared" si="37"/>
        <v>0.76692694367472414</v>
      </c>
      <c r="AM85" s="91"/>
      <c r="AN85" s="44">
        <v>0.24101490189324717</v>
      </c>
      <c r="AO85" s="44">
        <v>0.2720032230401061</v>
      </c>
      <c r="AP85" s="44">
        <v>0.26127972947477751</v>
      </c>
      <c r="AQ85" s="44">
        <v>0.19935261876117413</v>
      </c>
      <c r="AR85" s="44">
        <v>0.32509720427348926</v>
      </c>
      <c r="AS85" s="44">
        <v>0.40665493830365784</v>
      </c>
      <c r="AT85" s="44"/>
      <c r="AU85" s="44"/>
      <c r="AV85" s="44"/>
      <c r="AW85" s="44"/>
      <c r="AX85" s="44"/>
      <c r="AY85" s="44"/>
      <c r="AZ85" s="44">
        <f t="shared" si="38"/>
        <v>1.7054026157464519</v>
      </c>
      <c r="BB85" s="44">
        <f t="shared" si="39"/>
        <v>0.77429785440813081</v>
      </c>
      <c r="BC85" s="44">
        <f t="shared" si="40"/>
        <v>0.93110476133832121</v>
      </c>
      <c r="BD85" s="44">
        <f t="shared" si="41"/>
        <v>0</v>
      </c>
      <c r="BE85" s="44">
        <f t="shared" si="42"/>
        <v>0</v>
      </c>
    </row>
    <row r="86" spans="1:57">
      <c r="A86" s="45"/>
      <c r="B86" s="66"/>
      <c r="C86" s="66"/>
      <c r="D86" s="66"/>
      <c r="E86" s="66"/>
      <c r="F86" s="66"/>
      <c r="G86" s="66"/>
      <c r="H86" s="66">
        <v>0</v>
      </c>
      <c r="I86" s="66">
        <v>0</v>
      </c>
      <c r="J86" s="66">
        <v>0</v>
      </c>
      <c r="K86" s="66">
        <v>0</v>
      </c>
      <c r="L86" s="66">
        <v>0</v>
      </c>
      <c r="M86" s="66">
        <v>0</v>
      </c>
      <c r="N86" s="66">
        <f t="shared" si="33"/>
        <v>0</v>
      </c>
      <c r="P86" s="66">
        <f t="shared" si="34"/>
        <v>0</v>
      </c>
      <c r="Q86" s="66">
        <f t="shared" si="43"/>
        <v>0</v>
      </c>
      <c r="R86" s="66">
        <f t="shared" si="44"/>
        <v>0</v>
      </c>
      <c r="S86" s="66">
        <f t="shared" si="45"/>
        <v>0</v>
      </c>
      <c r="T86" s="88"/>
      <c r="U86" s="66">
        <v>0</v>
      </c>
      <c r="V86" s="66">
        <v>0</v>
      </c>
      <c r="W86" s="66">
        <v>0</v>
      </c>
      <c r="X86" s="66">
        <v>0</v>
      </c>
      <c r="Y86" s="66">
        <v>0</v>
      </c>
      <c r="Z86" s="66">
        <v>0.20304364292847099</v>
      </c>
      <c r="AA86" s="66">
        <v>0</v>
      </c>
      <c r="AB86" s="66">
        <v>0</v>
      </c>
      <c r="AC86" s="66"/>
      <c r="AD86" s="66">
        <v>0</v>
      </c>
      <c r="AE86" s="66">
        <v>0</v>
      </c>
      <c r="AF86" s="66">
        <v>0</v>
      </c>
      <c r="AG86" s="66">
        <f t="shared" si="35"/>
        <v>0.20304364292847099</v>
      </c>
      <c r="AI86" s="66">
        <f t="shared" si="36"/>
        <v>0</v>
      </c>
      <c r="AJ86" s="66">
        <f t="shared" si="46"/>
        <v>0.20304364292847099</v>
      </c>
      <c r="AK86" s="66">
        <f t="shared" si="47"/>
        <v>0</v>
      </c>
      <c r="AL86" s="66">
        <f t="shared" si="37"/>
        <v>0</v>
      </c>
      <c r="AM86" s="88"/>
      <c r="AN86" s="66"/>
      <c r="AO86" s="66"/>
      <c r="AP86" s="66"/>
      <c r="AQ86" s="66"/>
      <c r="AR86" s="66"/>
      <c r="AS86" s="66"/>
      <c r="AT86" s="66"/>
      <c r="AU86" s="66"/>
      <c r="AV86" s="66"/>
      <c r="AW86" s="66"/>
      <c r="AX86" s="66"/>
      <c r="AY86" s="66"/>
      <c r="AZ86" s="66">
        <f t="shared" si="38"/>
        <v>0</v>
      </c>
      <c r="BB86" s="66">
        <f t="shared" si="39"/>
        <v>0</v>
      </c>
      <c r="BC86" s="66">
        <f t="shared" si="40"/>
        <v>0</v>
      </c>
      <c r="BD86" s="66">
        <f t="shared" si="41"/>
        <v>0</v>
      </c>
      <c r="BE86" s="66">
        <f t="shared" si="42"/>
        <v>0</v>
      </c>
    </row>
    <row r="87" spans="1:57" ht="15.75">
      <c r="A87" s="39" t="s">
        <v>139</v>
      </c>
      <c r="B87" s="69">
        <v>29670.004523590003</v>
      </c>
      <c r="C87" s="69">
        <v>26470.02884946001</v>
      </c>
      <c r="D87" s="69">
        <v>25341.048725730001</v>
      </c>
      <c r="E87" s="69">
        <v>24998.138688840001</v>
      </c>
      <c r="F87" s="69">
        <v>31310.38916278</v>
      </c>
      <c r="G87" s="69">
        <v>27231.134483969996</v>
      </c>
      <c r="H87" s="69">
        <v>29684.063987820002</v>
      </c>
      <c r="I87" s="69">
        <v>28382.507668670005</v>
      </c>
      <c r="J87" s="69">
        <v>26258.05969179</v>
      </c>
      <c r="K87" s="69">
        <v>28586.82405548001</v>
      </c>
      <c r="L87" s="69">
        <v>31719.27969024</v>
      </c>
      <c r="M87" s="69">
        <v>32308.107331360003</v>
      </c>
      <c r="N87" s="69">
        <f t="shared" si="33"/>
        <v>341959.58685973001</v>
      </c>
      <c r="P87" s="69">
        <f t="shared" si="34"/>
        <v>81481.082098780011</v>
      </c>
      <c r="Q87" s="69">
        <f t="shared" si="43"/>
        <v>83539.662335589994</v>
      </c>
      <c r="R87" s="69">
        <f t="shared" si="44"/>
        <v>84324.631348280003</v>
      </c>
      <c r="S87" s="69">
        <f t="shared" si="45"/>
        <v>92614.211077080021</v>
      </c>
      <c r="T87" s="90"/>
      <c r="U87" s="69">
        <v>27283.807003110011</v>
      </c>
      <c r="V87" s="69">
        <v>30081.646834360006</v>
      </c>
      <c r="W87" s="69">
        <v>26202.306553550006</v>
      </c>
      <c r="X87" s="69">
        <v>27612.267323069991</v>
      </c>
      <c r="Y87" s="69">
        <v>26611.730969330001</v>
      </c>
      <c r="Z87" s="69">
        <v>26512.877781879997</v>
      </c>
      <c r="AA87" s="69">
        <v>28107.250157310002</v>
      </c>
      <c r="AB87" s="69">
        <v>28671.324219189999</v>
      </c>
      <c r="AC87" s="69">
        <v>29617.569164269997</v>
      </c>
      <c r="AD87" s="69">
        <v>27790.50200882</v>
      </c>
      <c r="AE87" s="69">
        <v>37624.977883739994</v>
      </c>
      <c r="AF87" s="69">
        <v>20796.367769910008</v>
      </c>
      <c r="AG87" s="69">
        <f t="shared" si="35"/>
        <v>336912.62766854005</v>
      </c>
      <c r="AI87" s="69">
        <f t="shared" si="36"/>
        <v>83567.760391020027</v>
      </c>
      <c r="AJ87" s="69">
        <f t="shared" si="46"/>
        <v>80736.876074279993</v>
      </c>
      <c r="AK87" s="69">
        <f t="shared" si="47"/>
        <v>86396.14354076999</v>
      </c>
      <c r="AL87" s="69">
        <f t="shared" si="37"/>
        <v>86211.847662469998</v>
      </c>
      <c r="AM87" s="90"/>
      <c r="AN87" s="69">
        <v>27802.577943459997</v>
      </c>
      <c r="AO87" s="69">
        <v>28566.913609329997</v>
      </c>
      <c r="AP87" s="69">
        <v>32105.246077230004</v>
      </c>
      <c r="AQ87" s="69">
        <v>36738.156270290005</v>
      </c>
      <c r="AR87" s="69">
        <v>34792.897199519997</v>
      </c>
      <c r="AS87" s="69">
        <v>30572.544519390001</v>
      </c>
      <c r="AT87" s="69"/>
      <c r="AU87" s="69"/>
      <c r="AV87" s="69"/>
      <c r="AW87" s="69"/>
      <c r="AX87" s="69"/>
      <c r="AY87" s="69"/>
      <c r="AZ87" s="69">
        <f t="shared" si="38"/>
        <v>190578.33561922002</v>
      </c>
      <c r="BB87" s="69">
        <f t="shared" si="39"/>
        <v>88474.737630019998</v>
      </c>
      <c r="BC87" s="69">
        <f t="shared" si="40"/>
        <v>102103.5979892</v>
      </c>
      <c r="BD87" s="69">
        <f t="shared" si="41"/>
        <v>0</v>
      </c>
      <c r="BE87" s="69">
        <f t="shared" si="42"/>
        <v>0</v>
      </c>
    </row>
    <row r="88" spans="1:57" outlineLevel="1">
      <c r="A88" s="37" t="s">
        <v>140</v>
      </c>
      <c r="B88" s="70">
        <v>6859.5109178800003</v>
      </c>
      <c r="C88" s="70">
        <v>7251.8570715100013</v>
      </c>
      <c r="D88" s="70">
        <v>7140.2685697699999</v>
      </c>
      <c r="E88" s="70">
        <v>6960.0968380000004</v>
      </c>
      <c r="F88" s="70">
        <v>9456.1879457799987</v>
      </c>
      <c r="G88" s="70">
        <v>7721.1365473800006</v>
      </c>
      <c r="H88" s="70">
        <v>8665.3604549100019</v>
      </c>
      <c r="I88" s="70">
        <v>8915.8645307700008</v>
      </c>
      <c r="J88" s="70">
        <v>7876.9031046100008</v>
      </c>
      <c r="K88" s="70">
        <v>9297.0828414000007</v>
      </c>
      <c r="L88" s="70">
        <v>10134.11385277</v>
      </c>
      <c r="M88" s="70">
        <v>8788.3171833000033</v>
      </c>
      <c r="N88" s="70">
        <f t="shared" si="33"/>
        <v>99066.699858080014</v>
      </c>
      <c r="P88" s="66">
        <f t="shared" si="34"/>
        <v>21251.636559160001</v>
      </c>
      <c r="Q88" s="66">
        <f t="shared" si="43"/>
        <v>24137.42133116</v>
      </c>
      <c r="R88" s="66">
        <f t="shared" si="44"/>
        <v>25458.128090290003</v>
      </c>
      <c r="S88" s="66">
        <f t="shared" si="45"/>
        <v>28219.513877470003</v>
      </c>
      <c r="T88" s="88"/>
      <c r="U88" s="70">
        <v>8480.6257418599998</v>
      </c>
      <c r="V88" s="70">
        <v>8688.3973297000011</v>
      </c>
      <c r="W88" s="70">
        <v>8736.8278492999998</v>
      </c>
      <c r="X88" s="70">
        <v>8050.1759040099996</v>
      </c>
      <c r="Y88" s="70">
        <v>7749.2993153199996</v>
      </c>
      <c r="Z88" s="70">
        <v>8238.3748022600012</v>
      </c>
      <c r="AA88" s="70">
        <v>7943.3404076200004</v>
      </c>
      <c r="AB88" s="70">
        <v>7937.1335560700009</v>
      </c>
      <c r="AC88" s="70">
        <v>8050.52669633</v>
      </c>
      <c r="AD88" s="70">
        <v>8108.29899957</v>
      </c>
      <c r="AE88" s="70">
        <v>9219.2063204299975</v>
      </c>
      <c r="AF88" s="70">
        <v>8600.383193220001</v>
      </c>
      <c r="AG88" s="70">
        <f t="shared" si="35"/>
        <v>99802.590115689993</v>
      </c>
      <c r="AI88" s="66">
        <f t="shared" si="36"/>
        <v>25905.850920860001</v>
      </c>
      <c r="AJ88" s="66">
        <f t="shared" si="46"/>
        <v>24037.850021589999</v>
      </c>
      <c r="AK88" s="66">
        <f t="shared" si="47"/>
        <v>23931.000660019999</v>
      </c>
      <c r="AL88" s="66">
        <f t="shared" si="37"/>
        <v>25927.888513219998</v>
      </c>
      <c r="AM88" s="88"/>
      <c r="AN88" s="70">
        <v>7924.9068849599989</v>
      </c>
      <c r="AO88" s="70">
        <v>8258.9050396499988</v>
      </c>
      <c r="AP88" s="70">
        <v>8364.9167134800009</v>
      </c>
      <c r="AQ88" s="70">
        <v>8348.0198459800013</v>
      </c>
      <c r="AR88" s="70">
        <v>8527.9606231300022</v>
      </c>
      <c r="AS88" s="70">
        <v>8493.8593791399999</v>
      </c>
      <c r="AT88" s="70"/>
      <c r="AU88" s="70"/>
      <c r="AV88" s="70"/>
      <c r="AW88" s="70"/>
      <c r="AX88" s="70"/>
      <c r="AY88" s="70"/>
      <c r="AZ88" s="70">
        <f t="shared" si="38"/>
        <v>49918.568486340002</v>
      </c>
      <c r="BB88" s="66">
        <f t="shared" si="39"/>
        <v>24548.728638089997</v>
      </c>
      <c r="BC88" s="66">
        <f t="shared" si="40"/>
        <v>25369.839848250005</v>
      </c>
      <c r="BD88" s="66">
        <f t="shared" si="41"/>
        <v>0</v>
      </c>
      <c r="BE88" s="66">
        <f t="shared" si="42"/>
        <v>0</v>
      </c>
    </row>
    <row r="89" spans="1:57" outlineLevel="1">
      <c r="A89" s="5" t="s">
        <v>141</v>
      </c>
      <c r="B89" s="68">
        <v>-14.92201331000004</v>
      </c>
      <c r="C89" s="68">
        <v>27.80188917000001</v>
      </c>
      <c r="D89" s="68">
        <v>-1144.1843847499999</v>
      </c>
      <c r="E89" s="68">
        <v>-1758.4312271700001</v>
      </c>
      <c r="F89" s="68">
        <f>-1484.33150793+2626.350498</f>
        <v>1142.0189900699997</v>
      </c>
      <c r="G89" s="68">
        <v>624.76299748000008</v>
      </c>
      <c r="H89" s="68">
        <v>1365.78658778</v>
      </c>
      <c r="I89" s="68">
        <v>1707.90184589</v>
      </c>
      <c r="J89" s="68">
        <v>878.79410316999997</v>
      </c>
      <c r="K89" s="68">
        <v>822.99041126999998</v>
      </c>
      <c r="L89" s="68">
        <v>69.681022950000013</v>
      </c>
      <c r="M89" s="68">
        <v>2621.0504080000001</v>
      </c>
      <c r="N89" s="68">
        <f t="shared" si="33"/>
        <v>6343.2506305500001</v>
      </c>
      <c r="P89" s="68">
        <f t="shared" si="34"/>
        <v>-1131.3045088899999</v>
      </c>
      <c r="Q89" s="68">
        <f t="shared" si="43"/>
        <v>8.3507603799997696</v>
      </c>
      <c r="R89" s="68">
        <f t="shared" si="44"/>
        <v>3952.4825368399997</v>
      </c>
      <c r="S89" s="68">
        <f t="shared" si="45"/>
        <v>3513.7218422200003</v>
      </c>
      <c r="T89" s="88"/>
      <c r="U89" s="68">
        <v>655.03543389999993</v>
      </c>
      <c r="V89" s="68">
        <v>1984.53782843</v>
      </c>
      <c r="W89" s="68">
        <v>401.40817136000004</v>
      </c>
      <c r="X89" s="68">
        <v>-551.78283429999988</v>
      </c>
      <c r="Y89" s="68">
        <v>-793.75491854999996</v>
      </c>
      <c r="Z89" s="68">
        <v>162.22551726</v>
      </c>
      <c r="AA89" s="68">
        <v>229.01174949999998</v>
      </c>
      <c r="AB89" s="68">
        <v>305.82822245</v>
      </c>
      <c r="AC89" s="68">
        <v>155.11953532000001</v>
      </c>
      <c r="AD89" s="68">
        <v>-162.50639710999997</v>
      </c>
      <c r="AE89" s="68">
        <v>8947.3073791499992</v>
      </c>
      <c r="AF89" s="68">
        <v>-960.08592987999998</v>
      </c>
      <c r="AG89" s="68">
        <f t="shared" si="35"/>
        <v>10372.343757529999</v>
      </c>
      <c r="AI89" s="68">
        <f t="shared" si="36"/>
        <v>3040.9814336899999</v>
      </c>
      <c r="AJ89" s="68">
        <f t="shared" si="46"/>
        <v>-1183.3122355899998</v>
      </c>
      <c r="AK89" s="68">
        <f t="shared" si="47"/>
        <v>689.9595072699999</v>
      </c>
      <c r="AL89" s="68">
        <f t="shared" si="37"/>
        <v>7824.7150521599988</v>
      </c>
      <c r="AM89" s="88"/>
      <c r="AN89" s="68">
        <v>201.57539</v>
      </c>
      <c r="AO89" s="68">
        <v>1818.979028</v>
      </c>
      <c r="AP89" s="68">
        <v>652.73753999999997</v>
      </c>
      <c r="AQ89" s="68">
        <v>2813.0614150000001</v>
      </c>
      <c r="AR89" s="68">
        <v>-4913.7962600000001</v>
      </c>
      <c r="AS89" s="68">
        <v>125.115066</v>
      </c>
      <c r="AT89" s="68"/>
      <c r="AU89" s="68"/>
      <c r="AV89" s="68"/>
      <c r="AW89" s="68"/>
      <c r="AX89" s="68"/>
      <c r="AY89" s="68"/>
      <c r="AZ89" s="68">
        <f t="shared" si="38"/>
        <v>697.6721789999998</v>
      </c>
      <c r="BB89" s="68">
        <f t="shared" si="39"/>
        <v>2673.2919579999998</v>
      </c>
      <c r="BC89" s="68">
        <f t="shared" si="40"/>
        <v>-1975.6197789999999</v>
      </c>
      <c r="BD89" s="68">
        <f t="shared" si="41"/>
        <v>0</v>
      </c>
      <c r="BE89" s="68">
        <f t="shared" si="42"/>
        <v>0</v>
      </c>
    </row>
    <row r="90" spans="1:57" outlineLevel="1">
      <c r="A90" s="5" t="s">
        <v>142</v>
      </c>
      <c r="B90" s="68"/>
      <c r="C90" s="68"/>
      <c r="D90" s="68"/>
      <c r="E90" s="68"/>
      <c r="F90" s="68"/>
      <c r="G90" s="68"/>
      <c r="H90" s="68"/>
      <c r="I90" s="68"/>
      <c r="J90" s="68"/>
      <c r="K90" s="68"/>
      <c r="L90" s="68"/>
      <c r="M90" s="68"/>
      <c r="N90" s="68"/>
      <c r="P90" s="68"/>
      <c r="Q90" s="68"/>
      <c r="R90" s="68"/>
      <c r="S90" s="68"/>
      <c r="T90" s="88"/>
      <c r="U90" s="68"/>
      <c r="V90" s="68"/>
      <c r="W90" s="68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I90" s="68">
        <f t="shared" si="36"/>
        <v>0</v>
      </c>
      <c r="AJ90" s="68">
        <f t="shared" si="46"/>
        <v>0</v>
      </c>
      <c r="AK90" s="68">
        <f t="shared" si="47"/>
        <v>0</v>
      </c>
      <c r="AL90" s="68">
        <f t="shared" si="37"/>
        <v>0</v>
      </c>
      <c r="AM90" s="88"/>
      <c r="AN90" s="68">
        <v>1401.4214176800001</v>
      </c>
      <c r="AO90" s="68">
        <v>-309.26489063999998</v>
      </c>
      <c r="AP90" s="68">
        <v>3410.7816631999999</v>
      </c>
      <c r="AQ90" s="68">
        <v>4111.7319382099995</v>
      </c>
      <c r="AR90" s="68">
        <v>10251.096620050001</v>
      </c>
      <c r="AS90" s="68">
        <v>3888.4658260299998</v>
      </c>
      <c r="AT90" s="68"/>
      <c r="AU90" s="68"/>
      <c r="AV90" s="68"/>
      <c r="AW90" s="68"/>
      <c r="AX90" s="68"/>
      <c r="AY90" s="68"/>
      <c r="AZ90" s="68">
        <f t="shared" si="38"/>
        <v>22754.232574529997</v>
      </c>
      <c r="BB90" s="68">
        <f>SUM(AN90:AP90)</f>
        <v>4502.93819024</v>
      </c>
      <c r="BC90" s="68">
        <f>+AQ90+AR90+AS90</f>
        <v>18251.294384289999</v>
      </c>
      <c r="BD90" s="68">
        <f>+AT90+AU90+AV90</f>
        <v>0</v>
      </c>
      <c r="BE90" s="68">
        <f>+AW90+AX90+AY90</f>
        <v>0</v>
      </c>
    </row>
    <row r="91" spans="1:57" outlineLevel="1">
      <c r="A91" s="5" t="s">
        <v>143</v>
      </c>
      <c r="B91" s="68">
        <v>4015.4820944999997</v>
      </c>
      <c r="C91" s="68">
        <v>1756.29984141</v>
      </c>
      <c r="D91" s="68">
        <v>1392.0660248900001</v>
      </c>
      <c r="E91" s="68">
        <v>2215.6283571700001</v>
      </c>
      <c r="F91" s="68">
        <f>4012.80530241-2626.350498</f>
        <v>1386.4548044100002</v>
      </c>
      <c r="G91" s="68">
        <v>567.55303318000006</v>
      </c>
      <c r="H91" s="68">
        <v>2142.9528940600003</v>
      </c>
      <c r="I91" s="68">
        <v>308.47726647000002</v>
      </c>
      <c r="J91" s="68">
        <v>-229.36239086</v>
      </c>
      <c r="K91" s="68">
        <v>-214.30287376000001</v>
      </c>
      <c r="L91" s="68">
        <v>2954.0912298300004</v>
      </c>
      <c r="M91" s="68">
        <v>2642.5786346499995</v>
      </c>
      <c r="N91" s="68">
        <f t="shared" si="33"/>
        <v>18937.918915949998</v>
      </c>
      <c r="P91" s="68">
        <f t="shared" si="34"/>
        <v>7163.8479607999998</v>
      </c>
      <c r="Q91" s="68">
        <f t="shared" si="43"/>
        <v>4169.6361947599999</v>
      </c>
      <c r="R91" s="68">
        <f t="shared" si="44"/>
        <v>2222.0677696700004</v>
      </c>
      <c r="S91" s="68">
        <f t="shared" si="45"/>
        <v>5382.3669907200001</v>
      </c>
      <c r="T91" s="88"/>
      <c r="U91" s="68">
        <v>-137.48558647000002</v>
      </c>
      <c r="V91" s="68">
        <v>23.338259459999971</v>
      </c>
      <c r="W91" s="68">
        <v>-770.4772886799999</v>
      </c>
      <c r="X91" s="68">
        <v>1675.1877647699998</v>
      </c>
      <c r="Y91" s="68">
        <v>994.80733314999998</v>
      </c>
      <c r="Z91" s="68">
        <v>-557.92429744999993</v>
      </c>
      <c r="AA91" s="68">
        <v>981.10853482999994</v>
      </c>
      <c r="AB91" s="68">
        <v>871.59771472999989</v>
      </c>
      <c r="AC91" s="68">
        <v>1598.73182423</v>
      </c>
      <c r="AD91" s="68">
        <v>-73.698602469999997</v>
      </c>
      <c r="AE91" s="68">
        <v>-3133.7215940999999</v>
      </c>
      <c r="AF91" s="68">
        <v>-6129.5061290699996</v>
      </c>
      <c r="AG91" s="68">
        <f t="shared" si="35"/>
        <v>-4658.0420670700005</v>
      </c>
      <c r="AI91" s="68">
        <f t="shared" si="36"/>
        <v>-884.62461568999993</v>
      </c>
      <c r="AJ91" s="68">
        <f t="shared" si="46"/>
        <v>2112.07080047</v>
      </c>
      <c r="AK91" s="68">
        <f t="shared" si="47"/>
        <v>3451.4380737900001</v>
      </c>
      <c r="AL91" s="68">
        <f t="shared" si="37"/>
        <v>-9336.926325639999</v>
      </c>
      <c r="AM91" s="88"/>
      <c r="AN91" s="68">
        <v>-1124.7488254100001</v>
      </c>
      <c r="AO91" s="68">
        <v>-1226.1931412199999</v>
      </c>
      <c r="AP91" s="68">
        <v>304.34384183999998</v>
      </c>
      <c r="AQ91" s="68">
        <v>872.26859759000001</v>
      </c>
      <c r="AR91" s="68">
        <v>453.89098034</v>
      </c>
      <c r="AS91" s="68">
        <v>-508.04309000000001</v>
      </c>
      <c r="AT91" s="68"/>
      <c r="AU91" s="68"/>
      <c r="AV91" s="68"/>
      <c r="AW91" s="68"/>
      <c r="AX91" s="68"/>
      <c r="AY91" s="68"/>
      <c r="AZ91" s="68">
        <f>SUM(AN91:AY91)</f>
        <v>-1228.48163686</v>
      </c>
      <c r="BB91" s="68">
        <f>SUM(AN91:AP91)</f>
        <v>-2046.5981247899999</v>
      </c>
      <c r="BC91" s="68">
        <f>+AQ91+AR91+AS91</f>
        <v>818.11648793000006</v>
      </c>
      <c r="BD91" s="68">
        <f>+AT91+AU91+AV91</f>
        <v>0</v>
      </c>
      <c r="BE91" s="68">
        <f>+AW91+AX91+AY91</f>
        <v>0</v>
      </c>
    </row>
    <row r="92" spans="1:57" outlineLevel="1">
      <c r="A92" s="37" t="s">
        <v>144</v>
      </c>
      <c r="B92" s="70">
        <v>18809.933524520005</v>
      </c>
      <c r="C92" s="70">
        <v>17434.070047370009</v>
      </c>
      <c r="D92" s="70">
        <v>17952.898515820001</v>
      </c>
      <c r="E92" s="70">
        <v>17580.844720840003</v>
      </c>
      <c r="F92" s="70">
        <v>19325.727422520002</v>
      </c>
      <c r="G92" s="70">
        <v>18317.681905929996</v>
      </c>
      <c r="H92" s="70">
        <v>17509.964051070001</v>
      </c>
      <c r="I92" s="70">
        <v>17450.264025540004</v>
      </c>
      <c r="J92" s="70">
        <v>17731.72487487</v>
      </c>
      <c r="K92" s="70">
        <v>18681.053676570009</v>
      </c>
      <c r="L92" s="70">
        <v>18561.393584689999</v>
      </c>
      <c r="M92" s="70">
        <v>18256.161105409999</v>
      </c>
      <c r="N92" s="70">
        <f t="shared" si="33"/>
        <v>217611.71745515004</v>
      </c>
      <c r="P92" s="66">
        <f t="shared" si="34"/>
        <v>54196.902087710019</v>
      </c>
      <c r="Q92" s="66">
        <f t="shared" si="43"/>
        <v>55224.254049290001</v>
      </c>
      <c r="R92" s="66">
        <f t="shared" si="44"/>
        <v>52691.952951480002</v>
      </c>
      <c r="S92" s="66">
        <f t="shared" si="45"/>
        <v>55498.608366670007</v>
      </c>
      <c r="T92" s="88"/>
      <c r="U92" s="70">
        <v>18285.63141382001</v>
      </c>
      <c r="V92" s="70">
        <v>19385.373416770002</v>
      </c>
      <c r="W92" s="70">
        <v>17834.547821570006</v>
      </c>
      <c r="X92" s="70">
        <v>18438.686488589992</v>
      </c>
      <c r="Y92" s="70">
        <v>18661.379239410002</v>
      </c>
      <c r="Z92" s="70">
        <v>18670.201759809996</v>
      </c>
      <c r="AA92" s="70">
        <v>18953.789465360001</v>
      </c>
      <c r="AB92" s="70">
        <v>19556.76472594</v>
      </c>
      <c r="AC92" s="70">
        <v>19813.191108389998</v>
      </c>
      <c r="AD92" s="70">
        <v>19918.40800883</v>
      </c>
      <c r="AE92" s="70">
        <v>22592.185778259998</v>
      </c>
      <c r="AF92" s="70">
        <v>19285.576635640005</v>
      </c>
      <c r="AG92" s="70">
        <f t="shared" si="35"/>
        <v>231395.73586239002</v>
      </c>
      <c r="AI92" s="66">
        <f t="shared" si="36"/>
        <v>55505.552652160019</v>
      </c>
      <c r="AJ92" s="66">
        <f t="shared" si="46"/>
        <v>55770.267487809993</v>
      </c>
      <c r="AK92" s="66">
        <f t="shared" si="47"/>
        <v>58323.745299690003</v>
      </c>
      <c r="AL92" s="66">
        <f t="shared" si="37"/>
        <v>61796.17042273</v>
      </c>
      <c r="AM92" s="88"/>
      <c r="AN92" s="70">
        <v>19399.423076229999</v>
      </c>
      <c r="AO92" s="70">
        <v>20024.487573539998</v>
      </c>
      <c r="AP92" s="70">
        <v>19372.466318710001</v>
      </c>
      <c r="AQ92" s="70">
        <v>20593.074473510002</v>
      </c>
      <c r="AR92" s="70">
        <v>20473.745235999995</v>
      </c>
      <c r="AS92" s="70">
        <v>18573.147338219998</v>
      </c>
      <c r="AT92" s="70"/>
      <c r="AU92" s="70"/>
      <c r="AV92" s="70"/>
      <c r="AW92" s="70"/>
      <c r="AX92" s="70"/>
      <c r="AY92" s="70"/>
      <c r="AZ92" s="70">
        <f t="shared" ref="AZ92:AZ115" si="48">SUM(AN92:AY92)</f>
        <v>118436.34401621</v>
      </c>
      <c r="BB92" s="68">
        <f>SUM(AN92:AP92)</f>
        <v>58796.376968479999</v>
      </c>
      <c r="BC92" s="68">
        <f>+AQ92+AR92+AS92</f>
        <v>59639.967047729995</v>
      </c>
      <c r="BD92" s="68">
        <f>+AT92+AU92+AV92</f>
        <v>0</v>
      </c>
      <c r="BE92" s="68">
        <f>+AW92+AX92+AY92</f>
        <v>0</v>
      </c>
    </row>
    <row r="93" spans="1:57">
      <c r="A93" s="41"/>
      <c r="B93" s="66"/>
      <c r="C93" s="66"/>
      <c r="D93" s="66"/>
      <c r="E93" s="66"/>
      <c r="F93" s="66"/>
      <c r="G93" s="66">
        <v>0</v>
      </c>
      <c r="H93" s="66">
        <v>0</v>
      </c>
      <c r="I93" s="66">
        <v>0</v>
      </c>
      <c r="J93" s="66">
        <v>0</v>
      </c>
      <c r="K93" s="66">
        <v>0</v>
      </c>
      <c r="L93" s="66">
        <v>0</v>
      </c>
      <c r="M93" s="66">
        <v>0</v>
      </c>
      <c r="N93" s="66">
        <f t="shared" si="33"/>
        <v>0</v>
      </c>
      <c r="P93" s="66">
        <f t="shared" si="34"/>
        <v>0</v>
      </c>
      <c r="Q93" s="66">
        <f t="shared" si="43"/>
        <v>0</v>
      </c>
      <c r="R93" s="66">
        <f t="shared" si="44"/>
        <v>0</v>
      </c>
      <c r="S93" s="66">
        <f t="shared" si="45"/>
        <v>0</v>
      </c>
      <c r="T93" s="88"/>
      <c r="U93" s="66">
        <v>0</v>
      </c>
      <c r="V93" s="66">
        <v>0</v>
      </c>
      <c r="W93" s="66">
        <v>0</v>
      </c>
      <c r="X93" s="66">
        <v>0</v>
      </c>
      <c r="Y93" s="66">
        <v>0</v>
      </c>
      <c r="Z93" s="66">
        <v>0</v>
      </c>
      <c r="AA93" s="66">
        <v>0</v>
      </c>
      <c r="AB93" s="66">
        <v>0</v>
      </c>
      <c r="AC93" s="66"/>
      <c r="AD93" s="66">
        <v>0</v>
      </c>
      <c r="AE93" s="66">
        <v>0</v>
      </c>
      <c r="AF93" s="66">
        <v>0</v>
      </c>
      <c r="AG93" s="66">
        <f t="shared" si="35"/>
        <v>0</v>
      </c>
      <c r="AI93" s="66">
        <f t="shared" si="36"/>
        <v>0</v>
      </c>
      <c r="AJ93" s="66">
        <f t="shared" si="46"/>
        <v>0</v>
      </c>
      <c r="AK93" s="66">
        <f t="shared" si="47"/>
        <v>0</v>
      </c>
      <c r="AL93" s="66">
        <f t="shared" si="37"/>
        <v>0</v>
      </c>
      <c r="AM93" s="88"/>
      <c r="AN93" s="66"/>
      <c r="AO93" s="66"/>
      <c r="AP93" s="66"/>
      <c r="AQ93" s="66"/>
      <c r="AR93" s="66"/>
      <c r="AS93" s="66"/>
      <c r="AT93" s="66"/>
      <c r="AU93" s="66"/>
      <c r="AV93" s="66"/>
      <c r="AW93" s="66"/>
      <c r="AX93" s="66"/>
      <c r="AY93" s="66"/>
      <c r="AZ93" s="66">
        <f t="shared" si="48"/>
        <v>0</v>
      </c>
      <c r="BB93" s="68">
        <f>SUM(AN93:AP93)</f>
        <v>0</v>
      </c>
      <c r="BC93" s="68">
        <f>+AQ93+AR93+AS93</f>
        <v>0</v>
      </c>
      <c r="BD93" s="68">
        <f>+AT93+AU93+AV93</f>
        <v>0</v>
      </c>
      <c r="BE93" s="68">
        <f>+AW93+AX93+AY93</f>
        <v>0</v>
      </c>
    </row>
    <row r="94" spans="1:57" ht="15.75">
      <c r="A94" s="46" t="s">
        <v>145</v>
      </c>
      <c r="B94" s="72">
        <v>-220.12936233995424</v>
      </c>
      <c r="C94" s="72">
        <v>27381.383758089927</v>
      </c>
      <c r="D94" s="72">
        <v>4512.937745540079</v>
      </c>
      <c r="E94" s="72">
        <v>7303.4401995200024</v>
      </c>
      <c r="F94" s="72">
        <v>6544.3331899199729</v>
      </c>
      <c r="G94" s="72">
        <v>411.04837812993355</v>
      </c>
      <c r="H94" s="72">
        <v>13500.610672450013</v>
      </c>
      <c r="I94" s="72">
        <v>16201.988619289885</v>
      </c>
      <c r="J94" s="72">
        <v>-1157.0004405400286</v>
      </c>
      <c r="K94" s="72">
        <v>60616.981110829933</v>
      </c>
      <c r="L94" s="72">
        <v>2585.682831659884</v>
      </c>
      <c r="M94" s="72">
        <v>12610.154271699899</v>
      </c>
      <c r="N94" s="72">
        <f t="shared" si="33"/>
        <v>150291.43097424952</v>
      </c>
      <c r="P94" s="72">
        <f t="shared" si="34"/>
        <v>31674.192141290052</v>
      </c>
      <c r="Q94" s="72">
        <f t="shared" si="43"/>
        <v>14258.821767569909</v>
      </c>
      <c r="R94" s="72">
        <f t="shared" si="44"/>
        <v>28545.598851199869</v>
      </c>
      <c r="S94" s="72">
        <f t="shared" si="45"/>
        <v>75812.818214189712</v>
      </c>
      <c r="T94" s="92"/>
      <c r="U94" s="72">
        <v>-426.24018141009219</v>
      </c>
      <c r="V94" s="72">
        <v>-6362.3672348200998</v>
      </c>
      <c r="W94" s="72">
        <v>-8511.5561741901183</v>
      </c>
      <c r="X94" s="72">
        <v>-3019.3272106900399</v>
      </c>
      <c r="Y94" s="72">
        <v>3183.4199698498451</v>
      </c>
      <c r="Z94" s="72">
        <v>3029.5540237198329</v>
      </c>
      <c r="AA94" s="72">
        <v>-4783.4995108800213</v>
      </c>
      <c r="AB94" s="72">
        <v>3441.4864365398598</v>
      </c>
      <c r="AC94" s="72">
        <v>3220.1577261798666</v>
      </c>
      <c r="AD94" s="72">
        <v>3807.8517852698533</v>
      </c>
      <c r="AE94" s="72">
        <v>9270.7258634498285</v>
      </c>
      <c r="AF94" s="72">
        <v>14543.615865259897</v>
      </c>
      <c r="AG94" s="72">
        <f t="shared" si="35"/>
        <v>17393.821358278612</v>
      </c>
      <c r="AI94" s="72">
        <f t="shared" si="36"/>
        <v>-15300.16359042031</v>
      </c>
      <c r="AJ94" s="72">
        <f t="shared" si="46"/>
        <v>3193.6467828796381</v>
      </c>
      <c r="AK94" s="72">
        <f t="shared" si="47"/>
        <v>1878.1446518397051</v>
      </c>
      <c r="AL94" s="72">
        <f t="shared" si="37"/>
        <v>27622.193513979579</v>
      </c>
      <c r="AM94" s="92"/>
      <c r="AN94" s="72">
        <v>2119.1898134699295</v>
      </c>
      <c r="AO94" s="72">
        <v>7428.1669815800778</v>
      </c>
      <c r="AP94" s="72">
        <v>1287.8020098097259</v>
      </c>
      <c r="AQ94" s="72">
        <v>-11266.886902500009</v>
      </c>
      <c r="AR94" s="72">
        <v>12587.291960480055</v>
      </c>
      <c r="AS94" s="72">
        <v>25089.255048759886</v>
      </c>
      <c r="AT94" s="72"/>
      <c r="AU94" s="72"/>
      <c r="AV94" s="72"/>
      <c r="AW94" s="72"/>
      <c r="AX94" s="72"/>
      <c r="AY94" s="72"/>
      <c r="AZ94" s="72">
        <f t="shared" si="48"/>
        <v>37244.818911599665</v>
      </c>
      <c r="BB94" s="72">
        <f t="shared" ref="BB94:BB100" si="49">SUM(AN94:AP94)</f>
        <v>10835.158804859733</v>
      </c>
      <c r="BC94" s="72">
        <f t="shared" ref="BC94:BC113" si="50">+AQ94+AR94+AS94</f>
        <v>26409.660106739932</v>
      </c>
      <c r="BD94" s="72">
        <f t="shared" ref="BD94:BD113" si="51">+AT94+AU94+AV94</f>
        <v>0</v>
      </c>
      <c r="BE94" s="72">
        <f t="shared" ref="BE94:BE113" si="52">+AW94+AX94+AY94</f>
        <v>0</v>
      </c>
    </row>
    <row r="95" spans="1:57">
      <c r="A95" s="41"/>
      <c r="B95" s="66"/>
      <c r="C95" s="66"/>
      <c r="D95" s="66"/>
      <c r="E95" s="66"/>
      <c r="F95" s="66"/>
      <c r="G95" s="66">
        <v>0</v>
      </c>
      <c r="H95" s="66">
        <v>0</v>
      </c>
      <c r="I95" s="66">
        <v>0</v>
      </c>
      <c r="J95" s="66">
        <v>0</v>
      </c>
      <c r="K95" s="66">
        <v>0</v>
      </c>
      <c r="L95" s="66">
        <v>0</v>
      </c>
      <c r="M95" s="66">
        <v>0</v>
      </c>
      <c r="N95" s="66">
        <f t="shared" si="33"/>
        <v>0</v>
      </c>
      <c r="P95" s="66">
        <f t="shared" si="34"/>
        <v>0</v>
      </c>
      <c r="Q95" s="66">
        <f t="shared" si="43"/>
        <v>0</v>
      </c>
      <c r="R95" s="66">
        <f t="shared" si="44"/>
        <v>0</v>
      </c>
      <c r="S95" s="66">
        <f t="shared" si="45"/>
        <v>0</v>
      </c>
      <c r="T95" s="88"/>
      <c r="U95" s="66">
        <v>0</v>
      </c>
      <c r="V95" s="66">
        <v>0</v>
      </c>
      <c r="W95" s="66">
        <v>0</v>
      </c>
      <c r="X95" s="66">
        <v>0</v>
      </c>
      <c r="Y95" s="66">
        <v>0</v>
      </c>
      <c r="Z95" s="66">
        <v>0</v>
      </c>
      <c r="AA95" s="66">
        <v>0</v>
      </c>
      <c r="AB95" s="66">
        <v>0</v>
      </c>
      <c r="AC95" s="66"/>
      <c r="AD95" s="66">
        <v>0</v>
      </c>
      <c r="AE95" s="66">
        <v>0</v>
      </c>
      <c r="AF95" s="66">
        <v>0</v>
      </c>
      <c r="AG95" s="66">
        <f t="shared" si="35"/>
        <v>0</v>
      </c>
      <c r="AI95" s="66">
        <f t="shared" si="36"/>
        <v>0</v>
      </c>
      <c r="AJ95" s="66">
        <f t="shared" si="46"/>
        <v>0</v>
      </c>
      <c r="AK95" s="66">
        <f t="shared" si="47"/>
        <v>0</v>
      </c>
      <c r="AL95" s="66">
        <f t="shared" si="37"/>
        <v>0</v>
      </c>
      <c r="AM95" s="88"/>
      <c r="AN95" s="66"/>
      <c r="AO95" s="66"/>
      <c r="AP95" s="66"/>
      <c r="AQ95" s="66"/>
      <c r="AR95" s="66"/>
      <c r="AS95" s="66"/>
      <c r="AT95" s="66"/>
      <c r="AU95" s="66"/>
      <c r="AV95" s="66"/>
      <c r="AW95" s="66"/>
      <c r="AX95" s="66"/>
      <c r="AY95" s="66"/>
      <c r="AZ95" s="66">
        <f t="shared" si="48"/>
        <v>0</v>
      </c>
      <c r="BB95" s="66">
        <f t="shared" si="49"/>
        <v>0</v>
      </c>
      <c r="BC95" s="66">
        <f t="shared" si="50"/>
        <v>0</v>
      </c>
      <c r="BD95" s="66">
        <f t="shared" si="51"/>
        <v>0</v>
      </c>
      <c r="BE95" s="66">
        <f t="shared" si="52"/>
        <v>0</v>
      </c>
    </row>
    <row r="96" spans="1:57" ht="15.75">
      <c r="A96" s="39" t="s">
        <v>146</v>
      </c>
      <c r="B96" s="69">
        <v>-4959.309414360001</v>
      </c>
      <c r="C96" s="69">
        <v>-3704.1459184599989</v>
      </c>
      <c r="D96" s="69">
        <v>-4735.1487563199998</v>
      </c>
      <c r="E96" s="69">
        <v>-5156.3557813299994</v>
      </c>
      <c r="F96" s="69">
        <v>-4273.672113210001</v>
      </c>
      <c r="G96" s="69">
        <v>-7636.0222951500018</v>
      </c>
      <c r="H96" s="69">
        <v>-8138.23738882</v>
      </c>
      <c r="I96" s="69">
        <v>-13533.526996109998</v>
      </c>
      <c r="J96" s="69">
        <v>-22878.293431349997</v>
      </c>
      <c r="K96" s="69">
        <v>-7041.492009919999</v>
      </c>
      <c r="L96" s="69">
        <v>-13534.383422370005</v>
      </c>
      <c r="M96" s="69">
        <v>-3918.8569193500011</v>
      </c>
      <c r="N96" s="69">
        <f t="shared" si="33"/>
        <v>-99509.444446750014</v>
      </c>
      <c r="P96" s="69">
        <f t="shared" si="34"/>
        <v>-13398.604089140001</v>
      </c>
      <c r="Q96" s="69">
        <f t="shared" si="43"/>
        <v>-17066.050189690002</v>
      </c>
      <c r="R96" s="69">
        <f t="shared" si="44"/>
        <v>-44550.057816279994</v>
      </c>
      <c r="S96" s="69">
        <f t="shared" si="45"/>
        <v>-24494.732351640007</v>
      </c>
      <c r="T96" s="90"/>
      <c r="U96" s="69">
        <v>2299.0159456900028</v>
      </c>
      <c r="V96" s="69">
        <v>-13318.907940590003</v>
      </c>
      <c r="W96" s="69">
        <v>-8012.1337752900017</v>
      </c>
      <c r="X96" s="69">
        <v>-10421.186161989999</v>
      </c>
      <c r="Y96" s="69">
        <v>-8613.363704829997</v>
      </c>
      <c r="Z96" s="69">
        <v>-35029.112403110004</v>
      </c>
      <c r="AA96" s="69">
        <v>576.1313460200015</v>
      </c>
      <c r="AB96" s="69">
        <v>-15263.87873606</v>
      </c>
      <c r="AC96" s="69">
        <v>2979.4886600399936</v>
      </c>
      <c r="AD96" s="69">
        <v>-16003.220685790004</v>
      </c>
      <c r="AE96" s="69">
        <v>-16163.680362759998</v>
      </c>
      <c r="AF96" s="69">
        <v>-7082.5190687999966</v>
      </c>
      <c r="AG96" s="69">
        <f t="shared" si="35"/>
        <v>-124053.36688747001</v>
      </c>
      <c r="AI96" s="69">
        <f t="shared" si="36"/>
        <v>-19032.025770190005</v>
      </c>
      <c r="AJ96" s="69">
        <f t="shared" si="46"/>
        <v>-54063.662269929999</v>
      </c>
      <c r="AK96" s="69">
        <f t="shared" si="47"/>
        <v>-11708.258730000005</v>
      </c>
      <c r="AL96" s="69">
        <f t="shared" si="37"/>
        <v>-39249.420117350004</v>
      </c>
      <c r="AM96" s="90"/>
      <c r="AN96" s="69">
        <v>-11132.348258900003</v>
      </c>
      <c r="AO96" s="69">
        <v>-19090.38467245</v>
      </c>
      <c r="AP96" s="69">
        <v>-11544.137615280004</v>
      </c>
      <c r="AQ96" s="69">
        <v>-18950.613878870001</v>
      </c>
      <c r="AR96" s="69">
        <v>-13008.074098280002</v>
      </c>
      <c r="AS96" s="69">
        <v>-18505.659420849999</v>
      </c>
      <c r="AT96" s="69"/>
      <c r="AU96" s="69"/>
      <c r="AV96" s="69"/>
      <c r="AW96" s="69"/>
      <c r="AX96" s="69"/>
      <c r="AY96" s="69"/>
      <c r="AZ96" s="69">
        <f t="shared" si="48"/>
        <v>-92231.217944630014</v>
      </c>
      <c r="BB96" s="69">
        <f t="shared" si="49"/>
        <v>-41766.870546630002</v>
      </c>
      <c r="BC96" s="69">
        <f t="shared" si="50"/>
        <v>-50464.347397999998</v>
      </c>
      <c r="BD96" s="69">
        <f t="shared" si="51"/>
        <v>0</v>
      </c>
      <c r="BE96" s="69">
        <f t="shared" si="52"/>
        <v>0</v>
      </c>
    </row>
    <row r="97" spans="1:61" outlineLevel="1">
      <c r="A97" s="37" t="s">
        <v>147</v>
      </c>
      <c r="B97" s="66">
        <v>1238.7070429599999</v>
      </c>
      <c r="C97" s="66">
        <v>1567.2002447499999</v>
      </c>
      <c r="D97" s="66">
        <v>1615.3726954900003</v>
      </c>
      <c r="E97" s="66">
        <v>1687.6371311299999</v>
      </c>
      <c r="F97" s="66">
        <v>2105.6224856899998</v>
      </c>
      <c r="G97" s="66">
        <v>2077.22953104</v>
      </c>
      <c r="H97" s="66">
        <v>2333.7809933400004</v>
      </c>
      <c r="I97" s="66">
        <v>2632.9352468500001</v>
      </c>
      <c r="J97" s="66">
        <v>2656.5970850399999</v>
      </c>
      <c r="K97" s="66">
        <v>2281.22708018</v>
      </c>
      <c r="L97" s="66">
        <v>2142.3775308700001</v>
      </c>
      <c r="M97" s="66">
        <v>4058.9670826399997</v>
      </c>
      <c r="N97" s="66">
        <f t="shared" si="33"/>
        <v>26397.654149980001</v>
      </c>
      <c r="P97" s="66">
        <f t="shared" si="34"/>
        <v>4421.2799832000001</v>
      </c>
      <c r="Q97" s="66">
        <f t="shared" si="43"/>
        <v>5870.4891478600002</v>
      </c>
      <c r="R97" s="66">
        <f t="shared" si="44"/>
        <v>7623.3133252300004</v>
      </c>
      <c r="S97" s="66">
        <f t="shared" si="45"/>
        <v>8482.5716936899989</v>
      </c>
      <c r="T97" s="88"/>
      <c r="U97" s="66">
        <v>7874.0548049000008</v>
      </c>
      <c r="V97" s="66">
        <v>2289.4830765500001</v>
      </c>
      <c r="W97" s="66">
        <v>1389.2773500000001</v>
      </c>
      <c r="X97" s="66">
        <v>1039.60757592</v>
      </c>
      <c r="Y97" s="66">
        <v>984.28324292000002</v>
      </c>
      <c r="Z97" s="66">
        <v>1111.7311010799999</v>
      </c>
      <c r="AA97" s="66">
        <v>13217.702983290001</v>
      </c>
      <c r="AB97" s="66">
        <v>971.71033087000001</v>
      </c>
      <c r="AC97" s="66">
        <v>28084.586491969996</v>
      </c>
      <c r="AD97" s="66">
        <v>1370.48798962</v>
      </c>
      <c r="AE97" s="66">
        <v>1394.9590049100002</v>
      </c>
      <c r="AF97" s="66">
        <v>2072.78502936</v>
      </c>
      <c r="AG97" s="66">
        <f t="shared" si="35"/>
        <v>61800.668981390001</v>
      </c>
      <c r="AI97" s="66">
        <f t="shared" si="36"/>
        <v>11552.81523145</v>
      </c>
      <c r="AJ97" s="66">
        <f t="shared" si="46"/>
        <v>3135.62191992</v>
      </c>
      <c r="AK97" s="66">
        <f t="shared" si="47"/>
        <v>42273.999806129999</v>
      </c>
      <c r="AL97" s="66">
        <f t="shared" si="37"/>
        <v>4838.2320238900002</v>
      </c>
      <c r="AM97" s="88"/>
      <c r="AN97" s="66">
        <v>1867.8447228300001</v>
      </c>
      <c r="AO97" s="66">
        <v>1167.2539826100001</v>
      </c>
      <c r="AP97" s="66">
        <v>677.39198492000003</v>
      </c>
      <c r="AQ97" s="66">
        <v>611.20154573000002</v>
      </c>
      <c r="AR97" s="66">
        <v>573.72698622999997</v>
      </c>
      <c r="AS97" s="66">
        <v>431.97035790999996</v>
      </c>
      <c r="AT97" s="66"/>
      <c r="AU97" s="66"/>
      <c r="AV97" s="66"/>
      <c r="AW97" s="66"/>
      <c r="AX97" s="66"/>
      <c r="AY97" s="66"/>
      <c r="AZ97" s="66">
        <f t="shared" si="48"/>
        <v>5329.3895802300003</v>
      </c>
      <c r="BB97" s="66">
        <f t="shared" si="49"/>
        <v>3712.4906903600004</v>
      </c>
      <c r="BC97" s="66">
        <f t="shared" si="50"/>
        <v>1616.8988898699999</v>
      </c>
      <c r="BD97" s="66">
        <f t="shared" si="51"/>
        <v>0</v>
      </c>
      <c r="BE97" s="66">
        <f t="shared" si="52"/>
        <v>0</v>
      </c>
    </row>
    <row r="98" spans="1:61" outlineLevel="1">
      <c r="A98" s="37" t="s">
        <v>148</v>
      </c>
      <c r="B98" s="68">
        <v>-6304.93083656</v>
      </c>
      <c r="C98" s="102">
        <v>-6073.1548946499988</v>
      </c>
      <c r="D98" s="102">
        <v>-6674.2577585500003</v>
      </c>
      <c r="E98" s="102">
        <v>-6652.4357321799998</v>
      </c>
      <c r="F98" s="102">
        <v>-6810.3614340500008</v>
      </c>
      <c r="G98" s="102">
        <v>-6790.8486092800013</v>
      </c>
      <c r="H98" s="102">
        <v>-7136.991394050001</v>
      </c>
      <c r="I98" s="102">
        <v>-15918.515304189999</v>
      </c>
      <c r="J98" s="102">
        <v>-24556.394165940001</v>
      </c>
      <c r="K98" s="102">
        <v>-7315.1481768699996</v>
      </c>
      <c r="L98" s="102">
        <v>-16868.909406630002</v>
      </c>
      <c r="M98" s="102">
        <v>-14685.35604961</v>
      </c>
      <c r="N98" s="68">
        <f t="shared" si="33"/>
        <v>-125787.30376256001</v>
      </c>
      <c r="P98" s="68">
        <f t="shared" si="34"/>
        <v>-19052.343489759998</v>
      </c>
      <c r="Q98" s="68">
        <f t="shared" si="43"/>
        <v>-20253.645775510002</v>
      </c>
      <c r="R98" s="68">
        <f t="shared" si="44"/>
        <v>-47611.900864180003</v>
      </c>
      <c r="S98" s="68">
        <f t="shared" si="45"/>
        <v>-38869.413633110002</v>
      </c>
      <c r="T98" s="88"/>
      <c r="U98" s="102">
        <v>-5215.9619737100002</v>
      </c>
      <c r="V98" s="102">
        <v>-15079.758975260002</v>
      </c>
      <c r="W98" s="102">
        <v>-13129.515738730001</v>
      </c>
      <c r="X98" s="102">
        <v>-11712.737288819999</v>
      </c>
      <c r="Y98" s="102">
        <v>-11461.455148879999</v>
      </c>
      <c r="Z98" s="102">
        <v>-34567.288967259999</v>
      </c>
      <c r="AA98" s="102">
        <v>-14029.33462525</v>
      </c>
      <c r="AB98" s="102">
        <v>-15442.89372093</v>
      </c>
      <c r="AC98" s="102">
        <v>-21383.046421310002</v>
      </c>
      <c r="AD98" s="102">
        <v>-17681.588086360003</v>
      </c>
      <c r="AE98" s="102">
        <v>-15276.90431898</v>
      </c>
      <c r="AF98" s="102">
        <v>-15664.222925599997</v>
      </c>
      <c r="AG98" s="68">
        <f t="shared" si="35"/>
        <v>-190644.70819109</v>
      </c>
      <c r="AI98" s="68">
        <f t="shared" si="36"/>
        <v>-33425.236687700002</v>
      </c>
      <c r="AJ98" s="68">
        <f t="shared" si="46"/>
        <v>-57741.481404959995</v>
      </c>
      <c r="AK98" s="68">
        <f t="shared" si="47"/>
        <v>-50855.274767490002</v>
      </c>
      <c r="AL98" s="68">
        <f t="shared" si="37"/>
        <v>-48622.715330940002</v>
      </c>
      <c r="AM98" s="88"/>
      <c r="AN98" s="102">
        <v>-12033.025295850002</v>
      </c>
      <c r="AO98" s="102">
        <v>-19989.842917670001</v>
      </c>
      <c r="AP98" s="102">
        <v>-11702.995349500003</v>
      </c>
      <c r="AQ98" s="102">
        <v>-19306.492716690002</v>
      </c>
      <c r="AR98" s="102">
        <v>-13784.852426490001</v>
      </c>
      <c r="AS98" s="102">
        <v>-15843.774874819999</v>
      </c>
      <c r="AT98" s="68"/>
      <c r="AU98" s="68"/>
      <c r="AV98" s="68"/>
      <c r="AW98" s="68"/>
      <c r="AX98" s="68"/>
      <c r="AY98" s="68"/>
      <c r="AZ98" s="68">
        <f t="shared" si="48"/>
        <v>-92660.983581020002</v>
      </c>
      <c r="BB98" s="68">
        <f t="shared" si="49"/>
        <v>-43725.863563020008</v>
      </c>
      <c r="BC98" s="68">
        <f t="shared" si="50"/>
        <v>-48935.120018000001</v>
      </c>
      <c r="BD98" s="68">
        <f t="shared" si="51"/>
        <v>0</v>
      </c>
      <c r="BE98" s="68">
        <f t="shared" si="52"/>
        <v>0</v>
      </c>
    </row>
    <row r="99" spans="1:61" outlineLevel="1">
      <c r="A99" s="37" t="s">
        <v>149</v>
      </c>
      <c r="B99" s="73">
        <v>0</v>
      </c>
      <c r="C99" s="73">
        <v>0</v>
      </c>
      <c r="D99" s="73">
        <v>648.6762966199999</v>
      </c>
      <c r="E99" s="73">
        <v>0</v>
      </c>
      <c r="F99" s="73">
        <v>0</v>
      </c>
      <c r="G99" s="73">
        <v>-1578.6556639900002</v>
      </c>
      <c r="H99" s="73">
        <v>-1639.3980799999999</v>
      </c>
      <c r="I99" s="73">
        <v>0</v>
      </c>
      <c r="J99" s="73">
        <v>-1382.9278545100003</v>
      </c>
      <c r="K99" s="73">
        <v>0</v>
      </c>
      <c r="L99" s="73">
        <v>0</v>
      </c>
      <c r="M99" s="73">
        <v>4525.2584385299997</v>
      </c>
      <c r="N99" s="73">
        <f t="shared" si="33"/>
        <v>572.95313664999867</v>
      </c>
      <c r="P99" s="73">
        <f t="shared" si="34"/>
        <v>648.6762966199999</v>
      </c>
      <c r="Q99" s="73">
        <f t="shared" si="43"/>
        <v>-1578.6556639900002</v>
      </c>
      <c r="R99" s="73">
        <f t="shared" si="44"/>
        <v>-3022.3259345100005</v>
      </c>
      <c r="S99" s="73">
        <f t="shared" si="45"/>
        <v>4525.2584385299997</v>
      </c>
      <c r="T99" s="93"/>
      <c r="U99" s="73">
        <v>0</v>
      </c>
      <c r="V99" s="73">
        <v>0</v>
      </c>
      <c r="W99" s="73">
        <v>-3842.8606301500004</v>
      </c>
      <c r="X99" s="73">
        <v>0</v>
      </c>
      <c r="Y99" s="73">
        <v>0</v>
      </c>
      <c r="Z99" s="73">
        <v>-3140.9592337000004</v>
      </c>
      <c r="AA99" s="73">
        <v>0</v>
      </c>
      <c r="AB99" s="73">
        <v>0</v>
      </c>
      <c r="AC99" s="73">
        <v>-3288.9580013800005</v>
      </c>
      <c r="AD99" s="73">
        <v>0</v>
      </c>
      <c r="AE99" s="73">
        <v>-2192.30191969</v>
      </c>
      <c r="AF99" s="73">
        <v>6024.9012364500004</v>
      </c>
      <c r="AG99" s="73">
        <f t="shared" si="35"/>
        <v>-6440.1785484700004</v>
      </c>
      <c r="AI99" s="73">
        <f t="shared" si="36"/>
        <v>-3842.8606301500004</v>
      </c>
      <c r="AJ99" s="73">
        <f t="shared" si="46"/>
        <v>-3140.9592337000004</v>
      </c>
      <c r="AK99" s="73">
        <f t="shared" si="47"/>
        <v>-3288.9580013800005</v>
      </c>
      <c r="AL99" s="73">
        <f t="shared" si="37"/>
        <v>3832.5993167600004</v>
      </c>
      <c r="AM99" s="93"/>
      <c r="AN99" s="73">
        <v>0</v>
      </c>
      <c r="AO99" s="73">
        <v>0</v>
      </c>
      <c r="AP99" s="73">
        <v>-693.14785292999977</v>
      </c>
      <c r="AQ99" s="73">
        <v>0</v>
      </c>
      <c r="AR99" s="73">
        <v>0</v>
      </c>
      <c r="AS99" s="73">
        <v>-2962.0420402999998</v>
      </c>
      <c r="AT99" s="73"/>
      <c r="AU99" s="73"/>
      <c r="AV99" s="73"/>
      <c r="AW99" s="73"/>
      <c r="AX99" s="73"/>
      <c r="AY99" s="73"/>
      <c r="AZ99" s="73">
        <f t="shared" si="48"/>
        <v>-3655.1898932299996</v>
      </c>
      <c r="BB99" s="73">
        <f t="shared" si="49"/>
        <v>-693.14785292999977</v>
      </c>
      <c r="BC99" s="73">
        <f t="shared" si="50"/>
        <v>-2962.0420402999998</v>
      </c>
      <c r="BD99" s="73">
        <f t="shared" si="51"/>
        <v>0</v>
      </c>
      <c r="BE99" s="73">
        <f t="shared" si="52"/>
        <v>0</v>
      </c>
    </row>
    <row r="100" spans="1:61" outlineLevel="1">
      <c r="A100" s="37" t="s">
        <v>150</v>
      </c>
      <c r="B100" s="73">
        <v>106.91437923999997</v>
      </c>
      <c r="C100" s="73">
        <v>801.80873143999997</v>
      </c>
      <c r="D100" s="73">
        <v>-324.93998987999959</v>
      </c>
      <c r="E100" s="73">
        <v>-191.55718027999981</v>
      </c>
      <c r="F100" s="73">
        <v>431.06683514999997</v>
      </c>
      <c r="G100" s="73">
        <v>-1343.7475529200008</v>
      </c>
      <c r="H100" s="73">
        <v>-1695.6289081099994</v>
      </c>
      <c r="I100" s="73">
        <v>-247.94693876999983</v>
      </c>
      <c r="J100" s="73">
        <v>404.43150406000018</v>
      </c>
      <c r="K100" s="73">
        <v>-2007.5709132299999</v>
      </c>
      <c r="L100" s="73">
        <v>1192.1484533899973</v>
      </c>
      <c r="M100" s="73">
        <v>2182.2736090899994</v>
      </c>
      <c r="N100" s="73">
        <f t="shared" si="33"/>
        <v>-692.74797082000214</v>
      </c>
      <c r="P100" s="73">
        <f t="shared" si="34"/>
        <v>583.78312080000046</v>
      </c>
      <c r="Q100" s="73">
        <f t="shared" si="43"/>
        <v>-1104.2378980500007</v>
      </c>
      <c r="R100" s="73">
        <f t="shared" si="44"/>
        <v>-1539.1443428199991</v>
      </c>
      <c r="S100" s="73">
        <f t="shared" si="45"/>
        <v>1366.8511492499968</v>
      </c>
      <c r="T100" s="93"/>
      <c r="U100" s="73">
        <v>-359.07688549999762</v>
      </c>
      <c r="V100" s="73">
        <v>-528.6320418800002</v>
      </c>
      <c r="W100" s="73">
        <v>7570.9652435899989</v>
      </c>
      <c r="X100" s="73">
        <v>251.94355091000023</v>
      </c>
      <c r="Y100" s="73">
        <v>1863.8082011300003</v>
      </c>
      <c r="Z100" s="73">
        <v>1567.4046967699999</v>
      </c>
      <c r="AA100" s="73">
        <v>1387.7629879800004</v>
      </c>
      <c r="AB100" s="73">
        <v>-792.69534599999986</v>
      </c>
      <c r="AC100" s="73">
        <v>-433.0934092399998</v>
      </c>
      <c r="AD100" s="73">
        <v>307.87941094999991</v>
      </c>
      <c r="AE100" s="73">
        <v>-89.433128999999866</v>
      </c>
      <c r="AF100" s="73">
        <v>484.01759098999997</v>
      </c>
      <c r="AG100" s="73">
        <f t="shared" si="35"/>
        <v>11230.850870700002</v>
      </c>
      <c r="AI100" s="73">
        <f t="shared" si="36"/>
        <v>6683.2563162100014</v>
      </c>
      <c r="AJ100" s="73">
        <f t="shared" si="46"/>
        <v>3683.1564488100003</v>
      </c>
      <c r="AK100" s="73">
        <f t="shared" si="47"/>
        <v>161.97423274000073</v>
      </c>
      <c r="AL100" s="73">
        <f t="shared" si="37"/>
        <v>702.46387293999999</v>
      </c>
      <c r="AM100" s="93"/>
      <c r="AN100" s="73">
        <v>-967.16768588000002</v>
      </c>
      <c r="AO100" s="73">
        <v>-267.79573738999989</v>
      </c>
      <c r="AP100" s="73">
        <v>174.61360223000003</v>
      </c>
      <c r="AQ100" s="73">
        <v>-255.32270791000002</v>
      </c>
      <c r="AR100" s="73">
        <v>203.05134197999971</v>
      </c>
      <c r="AS100" s="64">
        <v>-131.81286364000036</v>
      </c>
      <c r="AT100" s="73"/>
      <c r="AU100" s="73"/>
      <c r="AV100" s="73"/>
      <c r="AW100" s="73"/>
      <c r="AX100" s="73"/>
      <c r="AY100" s="73"/>
      <c r="AZ100" s="73">
        <f t="shared" si="48"/>
        <v>-1244.4340506100007</v>
      </c>
      <c r="BB100" s="73">
        <f t="shared" si="49"/>
        <v>-1060.3498210400001</v>
      </c>
      <c r="BC100" s="73">
        <f t="shared" si="50"/>
        <v>-184.08422957000067</v>
      </c>
      <c r="BD100" s="73">
        <f t="shared" si="51"/>
        <v>0</v>
      </c>
      <c r="BE100" s="73">
        <f t="shared" si="52"/>
        <v>0</v>
      </c>
    </row>
    <row r="101" spans="1:61">
      <c r="A101" s="41"/>
      <c r="B101" s="64"/>
      <c r="C101" s="64"/>
      <c r="D101" s="64"/>
      <c r="E101" s="64"/>
      <c r="F101" s="64"/>
      <c r="G101" s="64"/>
      <c r="H101" s="64"/>
      <c r="I101" s="64"/>
      <c r="J101" s="64"/>
      <c r="K101" s="64"/>
      <c r="L101" s="64"/>
      <c r="M101" s="64"/>
      <c r="N101" s="64"/>
      <c r="P101" s="64"/>
      <c r="Q101" s="64"/>
      <c r="R101" s="64"/>
      <c r="S101" s="64"/>
      <c r="T101" s="85"/>
      <c r="U101" s="64"/>
      <c r="V101" s="64"/>
      <c r="W101" s="64"/>
      <c r="X101" s="64"/>
      <c r="Y101" s="64"/>
      <c r="Z101" s="64"/>
      <c r="AA101" s="64"/>
      <c r="AB101" s="64"/>
      <c r="AC101" s="64"/>
      <c r="AD101" s="64"/>
      <c r="AE101" s="64"/>
      <c r="AF101" s="64"/>
      <c r="AG101" s="64"/>
      <c r="AI101" s="64"/>
      <c r="AJ101" s="64"/>
      <c r="AK101" s="64"/>
      <c r="AL101" s="64"/>
      <c r="AM101" s="85"/>
      <c r="AN101" s="64"/>
      <c r="AO101" s="64"/>
      <c r="AP101" s="64"/>
      <c r="AQ101" s="64"/>
      <c r="AR101" s="64"/>
      <c r="AS101" s="64"/>
      <c r="AT101" s="64"/>
      <c r="AU101" s="64"/>
      <c r="AV101" s="64"/>
      <c r="AW101" s="64"/>
      <c r="AX101" s="64"/>
      <c r="AY101" s="64"/>
      <c r="AZ101" s="64"/>
      <c r="BB101" s="64"/>
      <c r="BC101" s="64"/>
      <c r="BD101" s="64"/>
      <c r="BE101" s="64"/>
      <c r="BF101" s="74"/>
      <c r="BG101" s="74"/>
      <c r="BH101" s="74"/>
      <c r="BI101" s="74"/>
    </row>
    <row r="102" spans="1:61" ht="15.75">
      <c r="A102" s="46" t="s">
        <v>151</v>
      </c>
      <c r="B102" s="77">
        <v>-5179.4387766999553</v>
      </c>
      <c r="C102" s="77">
        <v>23677.237839629928</v>
      </c>
      <c r="D102" s="77">
        <v>-222.2110107799208</v>
      </c>
      <c r="E102" s="77">
        <v>2147.0844181900029</v>
      </c>
      <c r="F102" s="77">
        <v>2270.6610767099719</v>
      </c>
      <c r="G102" s="77">
        <v>-7224.9739170200683</v>
      </c>
      <c r="H102" s="77">
        <v>5362.3732836300132</v>
      </c>
      <c r="I102" s="77">
        <v>2668.4616231798864</v>
      </c>
      <c r="J102" s="77">
        <v>-24035.293871890026</v>
      </c>
      <c r="K102" s="77">
        <v>53575.489100909937</v>
      </c>
      <c r="L102" s="77">
        <v>-10948.700590710121</v>
      </c>
      <c r="M102" s="77">
        <v>8691.2973523498986</v>
      </c>
      <c r="N102" s="77">
        <f t="shared" si="33"/>
        <v>50781.986527499554</v>
      </c>
      <c r="P102" s="77">
        <f t="shared" ref="P102:P113" si="53">SUM(B102:D102)</f>
        <v>18275.588052150055</v>
      </c>
      <c r="Q102" s="77">
        <f t="shared" si="43"/>
        <v>-2807.2284221200935</v>
      </c>
      <c r="R102" s="77">
        <f t="shared" si="44"/>
        <v>-16004.458965080126</v>
      </c>
      <c r="S102" s="77">
        <f t="shared" si="45"/>
        <v>51318.08586254972</v>
      </c>
      <c r="T102" s="94"/>
      <c r="U102" s="77">
        <v>1872.7757642799106</v>
      </c>
      <c r="V102" s="77">
        <v>-19681.275175410105</v>
      </c>
      <c r="W102" s="77">
        <v>-16523.689949480118</v>
      </c>
      <c r="X102" s="77">
        <v>-13440.51337268</v>
      </c>
      <c r="Y102" s="77">
        <v>-5429.9437349801519</v>
      </c>
      <c r="Z102" s="77">
        <v>-31999.558379390171</v>
      </c>
      <c r="AA102" s="77">
        <v>-4207.3681648600195</v>
      </c>
      <c r="AB102" s="77">
        <v>-11822.3920431401</v>
      </c>
      <c r="AC102" s="77">
        <v>6199.6463862198598</v>
      </c>
      <c r="AD102" s="77">
        <v>-12195.36890052015</v>
      </c>
      <c r="AE102" s="77">
        <v>-6892.9544993101699</v>
      </c>
      <c r="AF102" s="77">
        <v>7461.0967964599004</v>
      </c>
      <c r="AG102" s="77">
        <f t="shared" si="35"/>
        <v>-106659.54527281132</v>
      </c>
      <c r="AI102" s="77">
        <f t="shared" ref="AI102:AI113" si="54">SUM(U102:W102)</f>
        <v>-34332.189360610311</v>
      </c>
      <c r="AJ102" s="77">
        <f t="shared" si="46"/>
        <v>-50870.015487050317</v>
      </c>
      <c r="AK102" s="77">
        <f t="shared" si="47"/>
        <v>-9830.11382178026</v>
      </c>
      <c r="AL102" s="77">
        <f t="shared" si="37"/>
        <v>-11627.226603370418</v>
      </c>
      <c r="AM102" s="94"/>
      <c r="AN102" s="77">
        <v>-9013.1584454300737</v>
      </c>
      <c r="AO102" s="77">
        <v>-11662.217690869922</v>
      </c>
      <c r="AP102" s="77">
        <v>-10256.335605470278</v>
      </c>
      <c r="AQ102" s="77">
        <v>-30217.50078137001</v>
      </c>
      <c r="AR102" s="77">
        <v>-420.78213779994621</v>
      </c>
      <c r="AS102" s="77">
        <v>6583.5956279098864</v>
      </c>
      <c r="AT102" s="77"/>
      <c r="AU102" s="77"/>
      <c r="AV102" s="77"/>
      <c r="AW102" s="77"/>
      <c r="AX102" s="77"/>
      <c r="AY102" s="77"/>
      <c r="AZ102" s="77">
        <f t="shared" si="48"/>
        <v>-54986.399033030335</v>
      </c>
      <c r="BB102" s="77">
        <f t="shared" ref="BB102:BB113" si="55">SUM(AN102:AP102)</f>
        <v>-30931.711741770272</v>
      </c>
      <c r="BC102" s="77">
        <f t="shared" si="50"/>
        <v>-24054.68729126007</v>
      </c>
      <c r="BD102" s="77">
        <f t="shared" si="51"/>
        <v>0</v>
      </c>
      <c r="BE102" s="77">
        <f t="shared" si="52"/>
        <v>0</v>
      </c>
    </row>
    <row r="103" spans="1:61">
      <c r="A103" s="41"/>
      <c r="B103" s="76"/>
      <c r="C103" s="76"/>
      <c r="D103" s="76"/>
      <c r="E103" s="76"/>
      <c r="F103" s="76"/>
      <c r="G103" s="76">
        <v>0</v>
      </c>
      <c r="H103" s="76">
        <v>0</v>
      </c>
      <c r="I103" s="76">
        <v>0</v>
      </c>
      <c r="J103" s="76">
        <v>0</v>
      </c>
      <c r="K103" s="76">
        <v>0</v>
      </c>
      <c r="L103" s="76">
        <v>0</v>
      </c>
      <c r="M103" s="76"/>
      <c r="N103" s="76">
        <f t="shared" si="33"/>
        <v>0</v>
      </c>
      <c r="P103" s="76">
        <f t="shared" si="53"/>
        <v>0</v>
      </c>
      <c r="Q103" s="76">
        <f t="shared" si="43"/>
        <v>0</v>
      </c>
      <c r="R103" s="76">
        <f t="shared" si="44"/>
        <v>0</v>
      </c>
      <c r="S103" s="76">
        <f t="shared" si="45"/>
        <v>0</v>
      </c>
      <c r="T103" s="95"/>
      <c r="U103" s="76">
        <v>0</v>
      </c>
      <c r="V103" s="76">
        <v>0</v>
      </c>
      <c r="W103" s="76">
        <v>0</v>
      </c>
      <c r="X103" s="76">
        <v>0</v>
      </c>
      <c r="Y103" s="76">
        <v>0</v>
      </c>
      <c r="Z103" s="76">
        <v>0</v>
      </c>
      <c r="AA103" s="76">
        <v>0</v>
      </c>
      <c r="AB103" s="76">
        <v>0</v>
      </c>
      <c r="AC103" s="76"/>
      <c r="AD103" s="76">
        <v>0</v>
      </c>
      <c r="AE103" s="76">
        <v>0</v>
      </c>
      <c r="AF103" s="76">
        <v>0</v>
      </c>
      <c r="AG103" s="76">
        <f t="shared" si="35"/>
        <v>0</v>
      </c>
      <c r="AI103" s="76">
        <f t="shared" si="54"/>
        <v>0</v>
      </c>
      <c r="AJ103" s="76">
        <f t="shared" si="46"/>
        <v>0</v>
      </c>
      <c r="AK103" s="76">
        <f t="shared" si="47"/>
        <v>0</v>
      </c>
      <c r="AL103" s="76">
        <f t="shared" si="37"/>
        <v>0</v>
      </c>
      <c r="AM103" s="95"/>
      <c r="AN103" s="76"/>
      <c r="AO103" s="76"/>
      <c r="AP103" s="76"/>
      <c r="AQ103" s="76"/>
      <c r="AR103" s="76"/>
      <c r="AS103" s="76"/>
      <c r="AT103" s="76"/>
      <c r="AU103" s="76"/>
      <c r="AV103" s="76"/>
      <c r="AW103" s="76"/>
      <c r="AX103" s="76"/>
      <c r="AY103" s="76"/>
      <c r="AZ103" s="76">
        <f t="shared" si="48"/>
        <v>0</v>
      </c>
      <c r="BB103" s="76">
        <f t="shared" si="55"/>
        <v>0</v>
      </c>
      <c r="BC103" s="76">
        <f t="shared" si="50"/>
        <v>0</v>
      </c>
      <c r="BD103" s="76">
        <f t="shared" si="51"/>
        <v>0</v>
      </c>
      <c r="BE103" s="76">
        <f t="shared" si="52"/>
        <v>0</v>
      </c>
    </row>
    <row r="104" spans="1:61" ht="15.75">
      <c r="A104" s="39" t="s">
        <v>152</v>
      </c>
      <c r="B104" s="75">
        <f>+B105+B106</f>
        <v>8405.5980630000013</v>
      </c>
      <c r="C104" s="75">
        <f t="shared" ref="C104:M104" si="56">+C105+C106</f>
        <v>-9712.0181940000002</v>
      </c>
      <c r="D104" s="75">
        <f t="shared" si="56"/>
        <v>-1484.7966414299995</v>
      </c>
      <c r="E104" s="75">
        <f t="shared" si="56"/>
        <v>808.96027989999993</v>
      </c>
      <c r="F104" s="75">
        <f t="shared" si="56"/>
        <v>3027.9123409399986</v>
      </c>
      <c r="G104" s="75">
        <f t="shared" si="56"/>
        <v>6528.0327289999987</v>
      </c>
      <c r="H104" s="75">
        <f t="shared" si="56"/>
        <v>3321.8311790000002</v>
      </c>
      <c r="I104" s="75">
        <f t="shared" si="56"/>
        <v>3052.5352279999993</v>
      </c>
      <c r="J104" s="75">
        <f t="shared" si="56"/>
        <v>12701.439348000004</v>
      </c>
      <c r="K104" s="75">
        <f t="shared" si="56"/>
        <v>7495.6408190000011</v>
      </c>
      <c r="L104" s="75">
        <f t="shared" si="56"/>
        <v>-9.375</v>
      </c>
      <c r="M104" s="75">
        <f t="shared" si="56"/>
        <v>-35824.398961000006</v>
      </c>
      <c r="N104" s="75">
        <f t="shared" si="33"/>
        <v>-1688.6388095900038</v>
      </c>
      <c r="P104" s="75">
        <f t="shared" ref="P104" si="57">+P105+P106</f>
        <v>-2791.2167724299984</v>
      </c>
      <c r="Q104" s="75">
        <f t="shared" si="43"/>
        <v>10364.905349839997</v>
      </c>
      <c r="R104" s="75">
        <f t="shared" si="44"/>
        <v>19075.805755000001</v>
      </c>
      <c r="S104" s="75">
        <f t="shared" si="45"/>
        <v>-28338.133142000006</v>
      </c>
      <c r="T104" s="96"/>
      <c r="U104" s="75">
        <f t="shared" ref="U104:V104" si="58">+U105+U106</f>
        <v>0</v>
      </c>
      <c r="V104" s="75">
        <f t="shared" si="58"/>
        <v>8804.3694570000007</v>
      </c>
      <c r="W104" s="75">
        <f t="shared" ref="W104" si="59">+W105+W106</f>
        <v>1451.835538</v>
      </c>
      <c r="X104" s="75">
        <f t="shared" ref="X104" si="60">+X105+X106</f>
        <v>5433.1260810699996</v>
      </c>
      <c r="Y104" s="75">
        <f t="shared" ref="Y104" si="61">+Y105+Y106</f>
        <v>4221.9928479999999</v>
      </c>
      <c r="Z104" s="75">
        <f t="shared" ref="Z104" si="62">+Z105+Z106</f>
        <v>4392.4512069999982</v>
      </c>
      <c r="AA104" s="75">
        <f t="shared" ref="AA104" si="63">+AA105+AA106</f>
        <v>5686.8629699999992</v>
      </c>
      <c r="AB104" s="75">
        <f t="shared" ref="AB104" si="64">+AB105+AB106</f>
        <v>3163.4921290000007</v>
      </c>
      <c r="AC104" s="75">
        <f t="shared" ref="AC104" si="65">+AC105+AC106</f>
        <v>12578.409636999997</v>
      </c>
      <c r="AD104" s="75">
        <f t="shared" ref="AD104" si="66">+AD105+AD106</f>
        <v>4768.3275329999997</v>
      </c>
      <c r="AE104" s="75">
        <f t="shared" ref="AE104" si="67">+AE105+AE106</f>
        <v>9521.3146329999963</v>
      </c>
      <c r="AF104" s="75">
        <f t="shared" ref="AF104" si="68">+AF105+AF106</f>
        <v>9431.6970599999986</v>
      </c>
      <c r="AG104" s="75">
        <f t="shared" si="35"/>
        <v>69453.879093069991</v>
      </c>
      <c r="AI104" s="75">
        <f t="shared" si="54"/>
        <v>10256.204995</v>
      </c>
      <c r="AJ104" s="75">
        <f t="shared" si="46"/>
        <v>14047.570136069997</v>
      </c>
      <c r="AK104" s="75">
        <f t="shared" si="47"/>
        <v>21428.764735999997</v>
      </c>
      <c r="AL104" s="75">
        <f t="shared" si="37"/>
        <v>23721.339225999996</v>
      </c>
      <c r="AM104" s="96"/>
      <c r="AN104" s="75">
        <f t="shared" ref="AN104" si="69">+AN105+AN106</f>
        <v>0</v>
      </c>
      <c r="AO104" s="75">
        <f t="shared" ref="AO104" si="70">+AO105+AO106</f>
        <v>12028.054255999998</v>
      </c>
      <c r="AP104" s="75">
        <f t="shared" ref="AP104" si="71">+AP105+AP106</f>
        <v>5368.0143609999986</v>
      </c>
      <c r="AQ104" s="75">
        <f t="shared" ref="AQ104" si="72">+AQ105+AQ106</f>
        <v>1665.5204009999993</v>
      </c>
      <c r="AR104" s="75">
        <f t="shared" ref="AR104" si="73">+AR105+AR106</f>
        <v>7127.8626810000014</v>
      </c>
      <c r="AS104" s="75">
        <f t="shared" ref="AS104" si="74">+AS105+AS106</f>
        <v>2152.1127500000007</v>
      </c>
      <c r="AT104" s="75">
        <f t="shared" ref="AT104" si="75">+AT105+AT106</f>
        <v>0</v>
      </c>
      <c r="AU104" s="75"/>
      <c r="AV104" s="75"/>
      <c r="AW104" s="75"/>
      <c r="AX104" s="75"/>
      <c r="AY104" s="75"/>
      <c r="AZ104" s="75">
        <f t="shared" si="48"/>
        <v>28341.564448999998</v>
      </c>
      <c r="BB104" s="75">
        <f t="shared" si="55"/>
        <v>17396.068616999997</v>
      </c>
      <c r="BC104" s="75">
        <f t="shared" si="50"/>
        <v>10945.495832000001</v>
      </c>
      <c r="BD104" s="75">
        <f t="shared" si="51"/>
        <v>0</v>
      </c>
      <c r="BE104" s="75">
        <f t="shared" si="52"/>
        <v>0</v>
      </c>
    </row>
    <row r="105" spans="1:61" outlineLevel="1">
      <c r="A105" s="37" t="s">
        <v>153</v>
      </c>
      <c r="B105" s="66">
        <v>8405.5980630000013</v>
      </c>
      <c r="C105" s="66">
        <v>-9712.0181940000002</v>
      </c>
      <c r="D105" s="66">
        <v>-1484.7966414299995</v>
      </c>
      <c r="E105" s="66">
        <v>808.96357096999998</v>
      </c>
      <c r="F105" s="66">
        <v>3027.9123409399986</v>
      </c>
      <c r="G105" s="66">
        <v>6528.0327289999987</v>
      </c>
      <c r="H105" s="66">
        <v>3321.8311790000002</v>
      </c>
      <c r="I105" s="66">
        <v>3052.5352279999993</v>
      </c>
      <c r="J105" s="66">
        <v>12701.439348000004</v>
      </c>
      <c r="K105" s="66">
        <v>7495.6408190000011</v>
      </c>
      <c r="L105" s="66">
        <v>0</v>
      </c>
      <c r="M105" s="66">
        <v>-35800.453961000007</v>
      </c>
      <c r="N105" s="66">
        <f t="shared" si="33"/>
        <v>-1655.3155185200012</v>
      </c>
      <c r="O105" s="104"/>
      <c r="P105" s="66">
        <f t="shared" si="53"/>
        <v>-2791.2167724299984</v>
      </c>
      <c r="Q105" s="66">
        <f t="shared" si="43"/>
        <v>10364.908640909998</v>
      </c>
      <c r="R105" s="66">
        <f t="shared" si="44"/>
        <v>19075.805755000001</v>
      </c>
      <c r="S105" s="66">
        <f t="shared" si="45"/>
        <v>-28304.813142000006</v>
      </c>
      <c r="T105" s="88"/>
      <c r="U105" s="66">
        <v>0</v>
      </c>
      <c r="V105" s="66">
        <v>8804.3694570000007</v>
      </c>
      <c r="W105" s="66">
        <v>1465.4015380000001</v>
      </c>
      <c r="X105" s="66">
        <v>5434.921386</v>
      </c>
      <c r="Y105" s="66">
        <v>4275.4258479999999</v>
      </c>
      <c r="Z105" s="66">
        <v>4410.7022069999985</v>
      </c>
      <c r="AA105" s="66">
        <v>5686.8629699999992</v>
      </c>
      <c r="AB105" s="66">
        <v>3168.5721290000006</v>
      </c>
      <c r="AC105" s="66">
        <v>12675.501636999998</v>
      </c>
      <c r="AD105" s="66">
        <v>4779.8785330000001</v>
      </c>
      <c r="AE105" s="66">
        <v>9465.3966329999967</v>
      </c>
      <c r="AF105" s="66">
        <v>9439.9130599999989</v>
      </c>
      <c r="AG105" s="66">
        <f t="shared" si="35"/>
        <v>69606.945397999996</v>
      </c>
      <c r="AI105" s="66">
        <f t="shared" si="54"/>
        <v>10269.770995000001</v>
      </c>
      <c r="AJ105" s="66">
        <f t="shared" si="46"/>
        <v>14121.049440999999</v>
      </c>
      <c r="AK105" s="66">
        <f t="shared" si="47"/>
        <v>21530.936735999996</v>
      </c>
      <c r="AL105" s="66">
        <f t="shared" si="37"/>
        <v>23685.188225999995</v>
      </c>
      <c r="AM105" s="88"/>
      <c r="AN105" s="66">
        <v>0</v>
      </c>
      <c r="AO105" s="66">
        <v>12477.683255999998</v>
      </c>
      <c r="AP105" s="66">
        <v>4918.4293609999986</v>
      </c>
      <c r="AQ105" s="66">
        <v>2087.5434009999994</v>
      </c>
      <c r="AR105" s="66">
        <v>7260.4296810000014</v>
      </c>
      <c r="AS105" s="66">
        <v>4383.5437500000007</v>
      </c>
      <c r="AT105" s="66"/>
      <c r="AU105" s="66"/>
      <c r="AV105" s="66"/>
      <c r="AW105" s="66"/>
      <c r="AX105" s="66"/>
      <c r="AY105" s="66"/>
      <c r="AZ105" s="66">
        <f t="shared" si="48"/>
        <v>31127.629449</v>
      </c>
      <c r="BA105" s="104"/>
      <c r="BB105" s="66">
        <f t="shared" si="55"/>
        <v>17396.112616999999</v>
      </c>
      <c r="BC105" s="66">
        <f t="shared" si="50"/>
        <v>13731.516832000001</v>
      </c>
      <c r="BD105" s="66">
        <f t="shared" si="51"/>
        <v>0</v>
      </c>
      <c r="BE105" s="66">
        <f t="shared" si="52"/>
        <v>0</v>
      </c>
    </row>
    <row r="106" spans="1:61" outlineLevel="1">
      <c r="A106" s="37" t="s">
        <v>154</v>
      </c>
      <c r="B106" s="76">
        <v>0</v>
      </c>
      <c r="C106" s="76">
        <v>0</v>
      </c>
      <c r="D106" s="76">
        <v>0</v>
      </c>
      <c r="E106" s="76">
        <v>-3.2910700000000001E-3</v>
      </c>
      <c r="F106" s="76">
        <v>0</v>
      </c>
      <c r="G106" s="76">
        <v>0</v>
      </c>
      <c r="H106" s="76">
        <v>0</v>
      </c>
      <c r="I106" s="76">
        <v>0</v>
      </c>
      <c r="J106" s="76">
        <v>0</v>
      </c>
      <c r="K106" s="76">
        <v>0</v>
      </c>
      <c r="L106" s="76">
        <v>-9.375</v>
      </c>
      <c r="M106" s="76">
        <v>-23.945</v>
      </c>
      <c r="N106" s="76">
        <f t="shared" si="33"/>
        <v>-33.323291069999996</v>
      </c>
      <c r="P106" s="76">
        <f t="shared" si="53"/>
        <v>0</v>
      </c>
      <c r="Q106" s="76">
        <f t="shared" si="43"/>
        <v>-3.2910700000000001E-3</v>
      </c>
      <c r="R106" s="76">
        <f t="shared" si="44"/>
        <v>0</v>
      </c>
      <c r="S106" s="76">
        <f t="shared" si="45"/>
        <v>-33.32</v>
      </c>
      <c r="T106" s="95"/>
      <c r="U106" s="76">
        <v>0</v>
      </c>
      <c r="V106" s="76">
        <v>0</v>
      </c>
      <c r="W106" s="76">
        <v>-13.566000000000001</v>
      </c>
      <c r="X106" s="76">
        <v>-1.7953049299999999</v>
      </c>
      <c r="Y106" s="76">
        <v>-53.433</v>
      </c>
      <c r="Z106" s="76">
        <v>-18.251000000000001</v>
      </c>
      <c r="AA106" s="76">
        <v>0</v>
      </c>
      <c r="AB106" s="76">
        <v>-5.08</v>
      </c>
      <c r="AC106" s="76">
        <v>-97.091999999999999</v>
      </c>
      <c r="AD106" s="76">
        <v>-11.551</v>
      </c>
      <c r="AE106" s="76">
        <v>55.917999999999999</v>
      </c>
      <c r="AF106" s="76">
        <v>-8.2159999999999993</v>
      </c>
      <c r="AG106" s="76">
        <f t="shared" si="35"/>
        <v>-153.06630493</v>
      </c>
      <c r="AH106" s="104"/>
      <c r="AI106" s="76">
        <f t="shared" si="54"/>
        <v>-13.566000000000001</v>
      </c>
      <c r="AJ106" s="76">
        <f t="shared" si="46"/>
        <v>-73.479304929999998</v>
      </c>
      <c r="AK106" s="76">
        <f t="shared" si="47"/>
        <v>-102.172</v>
      </c>
      <c r="AL106" s="76">
        <f t="shared" si="37"/>
        <v>36.150999999999996</v>
      </c>
      <c r="AM106" s="95"/>
      <c r="AN106" s="76">
        <v>0</v>
      </c>
      <c r="AO106" s="76">
        <v>-449.62900000000002</v>
      </c>
      <c r="AP106" s="76">
        <v>449.58499999999998</v>
      </c>
      <c r="AQ106" s="76">
        <v>-422.02300000000002</v>
      </c>
      <c r="AR106" s="76">
        <v>-132.56700000000001</v>
      </c>
      <c r="AS106" s="76">
        <v>-2231.431</v>
      </c>
      <c r="AT106" s="76"/>
      <c r="AU106" s="76"/>
      <c r="AV106" s="76"/>
      <c r="AW106" s="76"/>
      <c r="AX106" s="76"/>
      <c r="AY106" s="76"/>
      <c r="AZ106" s="76">
        <f t="shared" si="48"/>
        <v>-2786.0650000000001</v>
      </c>
      <c r="BB106" s="76">
        <f t="shared" si="55"/>
        <v>-4.4000000000039563E-2</v>
      </c>
      <c r="BC106" s="76">
        <f t="shared" si="50"/>
        <v>-2786.0210000000002</v>
      </c>
      <c r="BD106" s="76">
        <f t="shared" si="51"/>
        <v>0</v>
      </c>
      <c r="BE106" s="76">
        <f t="shared" si="52"/>
        <v>0</v>
      </c>
    </row>
    <row r="107" spans="1:61" hidden="1" outlineLevel="1">
      <c r="A107" s="37" t="s">
        <v>155</v>
      </c>
      <c r="B107" s="76">
        <v>0</v>
      </c>
      <c r="C107" s="76">
        <v>0</v>
      </c>
      <c r="D107" s="76">
        <v>0</v>
      </c>
      <c r="E107" s="76">
        <v>0</v>
      </c>
      <c r="F107" s="76">
        <v>0</v>
      </c>
      <c r="G107" s="76">
        <v>0</v>
      </c>
      <c r="H107" s="76">
        <v>0</v>
      </c>
      <c r="I107" s="76">
        <v>0</v>
      </c>
      <c r="J107" s="76">
        <v>0</v>
      </c>
      <c r="K107" s="76">
        <v>0</v>
      </c>
      <c r="L107" s="76">
        <v>0</v>
      </c>
      <c r="M107" s="76">
        <v>0</v>
      </c>
      <c r="N107" s="76">
        <f t="shared" si="33"/>
        <v>0</v>
      </c>
      <c r="P107" s="76">
        <f t="shared" si="53"/>
        <v>0</v>
      </c>
      <c r="Q107" s="76">
        <f t="shared" si="43"/>
        <v>0</v>
      </c>
      <c r="R107" s="76">
        <f t="shared" si="44"/>
        <v>0</v>
      </c>
      <c r="S107" s="76">
        <f t="shared" si="45"/>
        <v>0</v>
      </c>
      <c r="T107" s="95"/>
      <c r="U107" s="76">
        <v>0</v>
      </c>
      <c r="V107" s="76">
        <v>0</v>
      </c>
      <c r="W107" s="76">
        <v>0</v>
      </c>
      <c r="X107" s="76">
        <v>0</v>
      </c>
      <c r="Y107" s="76">
        <v>0</v>
      </c>
      <c r="Z107" s="76">
        <v>0</v>
      </c>
      <c r="AA107" s="76">
        <v>0</v>
      </c>
      <c r="AB107" s="76">
        <v>0</v>
      </c>
      <c r="AC107" s="76">
        <v>0</v>
      </c>
      <c r="AD107" s="76">
        <v>0</v>
      </c>
      <c r="AE107" s="76">
        <v>0</v>
      </c>
      <c r="AF107" s="76">
        <v>0</v>
      </c>
      <c r="AG107" s="76">
        <f t="shared" si="35"/>
        <v>0</v>
      </c>
      <c r="AI107" s="76">
        <f t="shared" si="54"/>
        <v>0</v>
      </c>
      <c r="AJ107" s="76">
        <f t="shared" si="46"/>
        <v>0</v>
      </c>
      <c r="AK107" s="76">
        <f t="shared" si="47"/>
        <v>0</v>
      </c>
      <c r="AL107" s="76">
        <f t="shared" si="37"/>
        <v>0</v>
      </c>
      <c r="AM107" s="95"/>
      <c r="AN107" s="76">
        <v>0</v>
      </c>
      <c r="AO107" s="76">
        <v>0</v>
      </c>
      <c r="AP107" s="76">
        <v>0</v>
      </c>
      <c r="AQ107" s="76">
        <v>0</v>
      </c>
      <c r="AR107" s="76">
        <v>0</v>
      </c>
      <c r="AS107" s="76">
        <v>0</v>
      </c>
      <c r="AT107" s="76"/>
      <c r="AU107" s="76"/>
      <c r="AV107" s="76"/>
      <c r="AW107" s="76"/>
      <c r="AX107" s="76"/>
      <c r="AY107" s="76"/>
      <c r="AZ107" s="76">
        <f t="shared" si="48"/>
        <v>0</v>
      </c>
      <c r="BB107" s="76">
        <f t="shared" si="55"/>
        <v>0</v>
      </c>
      <c r="BC107" s="76">
        <f t="shared" si="50"/>
        <v>0</v>
      </c>
      <c r="BD107" s="76">
        <f t="shared" si="51"/>
        <v>0</v>
      </c>
      <c r="BE107" s="76">
        <f t="shared" si="52"/>
        <v>0</v>
      </c>
    </row>
    <row r="108" spans="1:61" ht="15.75">
      <c r="A108" s="47"/>
      <c r="B108" s="76"/>
      <c r="C108" s="76"/>
      <c r="D108" s="76"/>
      <c r="E108" s="76"/>
      <c r="F108" s="76"/>
      <c r="G108" s="76"/>
      <c r="H108" s="76"/>
      <c r="I108" s="76"/>
      <c r="J108" s="76"/>
      <c r="K108" s="76"/>
      <c r="L108" s="76"/>
      <c r="M108" s="76"/>
      <c r="N108" s="76"/>
      <c r="P108" s="76"/>
      <c r="Q108" s="76"/>
      <c r="R108" s="76"/>
      <c r="S108" s="76"/>
      <c r="T108" s="95"/>
      <c r="U108" s="76"/>
      <c r="V108" s="76"/>
      <c r="W108" s="76"/>
      <c r="X108" s="76"/>
      <c r="Y108" s="76"/>
      <c r="Z108" s="76"/>
      <c r="AA108" s="76"/>
      <c r="AB108" s="76"/>
      <c r="AC108" s="76"/>
      <c r="AD108" s="76"/>
      <c r="AE108" s="76"/>
      <c r="AF108" s="76"/>
      <c r="AG108" s="76"/>
      <c r="AI108" s="76"/>
      <c r="AJ108" s="76"/>
      <c r="AK108" s="76"/>
      <c r="AL108" s="76"/>
      <c r="AM108" s="95"/>
      <c r="AN108" s="76"/>
      <c r="AO108" s="76"/>
      <c r="AP108" s="76"/>
      <c r="AQ108" s="76"/>
      <c r="AR108" s="76"/>
      <c r="AS108" s="76"/>
      <c r="AT108" s="76"/>
      <c r="AU108" s="76"/>
      <c r="AV108" s="76"/>
      <c r="AW108" s="76"/>
      <c r="AX108" s="76"/>
      <c r="AY108" s="76"/>
      <c r="AZ108" s="76"/>
      <c r="BB108" s="76"/>
      <c r="BC108" s="76"/>
      <c r="BD108" s="76"/>
      <c r="BE108" s="76"/>
    </row>
    <row r="109" spans="1:61" ht="15.75">
      <c r="A109" s="46" t="s">
        <v>156</v>
      </c>
      <c r="B109" s="77">
        <v>3226.159286300046</v>
      </c>
      <c r="C109" s="77">
        <v>13965.219645629928</v>
      </c>
      <c r="D109" s="77">
        <v>-1707.0076522099203</v>
      </c>
      <c r="E109" s="77">
        <v>2956.0512802300027</v>
      </c>
      <c r="F109" s="77">
        <v>5298.57341764997</v>
      </c>
      <c r="G109" s="77">
        <v>-696.9411880200696</v>
      </c>
      <c r="H109" s="77">
        <v>8684.2044626300139</v>
      </c>
      <c r="I109" s="77">
        <v>5720.9968511798852</v>
      </c>
      <c r="J109" s="77">
        <v>-11333.854523890022</v>
      </c>
      <c r="K109" s="77">
        <v>61071.129919909938</v>
      </c>
      <c r="L109" s="77">
        <v>-10958.075590710121</v>
      </c>
      <c r="M109" s="77">
        <v>-27133.101608650108</v>
      </c>
      <c r="N109" s="77">
        <f t="shared" si="33"/>
        <v>49093.354300049541</v>
      </c>
      <c r="P109" s="77">
        <f t="shared" si="53"/>
        <v>15484.371279720055</v>
      </c>
      <c r="Q109" s="77">
        <f t="shared" si="43"/>
        <v>7557.6835098599022</v>
      </c>
      <c r="R109" s="77">
        <f t="shared" si="44"/>
        <v>3071.3467899198768</v>
      </c>
      <c r="S109" s="77">
        <f t="shared" si="45"/>
        <v>22979.952720549711</v>
      </c>
      <c r="T109" s="94"/>
      <c r="U109" s="77">
        <v>1872.7757642799106</v>
      </c>
      <c r="V109" s="77">
        <v>-10876.905718410104</v>
      </c>
      <c r="W109" s="77">
        <v>-15071.854411480119</v>
      </c>
      <c r="X109" s="77">
        <v>-8007.3872916100399</v>
      </c>
      <c r="Y109" s="77">
        <v>-1207.9508869801521</v>
      </c>
      <c r="Z109" s="77">
        <v>-27607.107172390173</v>
      </c>
      <c r="AA109" s="77">
        <v>1479.4948051399797</v>
      </c>
      <c r="AB109" s="77">
        <v>-8658.89991414014</v>
      </c>
      <c r="AC109" s="77">
        <v>18778.056023219855</v>
      </c>
      <c r="AD109" s="77">
        <v>-7427.0413675201507</v>
      </c>
      <c r="AE109" s="77">
        <v>2628.3601336898264</v>
      </c>
      <c r="AF109" s="77">
        <v>16892.793856459899</v>
      </c>
      <c r="AG109" s="77">
        <f t="shared" si="35"/>
        <v>-37205.666179741398</v>
      </c>
      <c r="AI109" s="77">
        <f t="shared" si="54"/>
        <v>-24075.984365610311</v>
      </c>
      <c r="AJ109" s="77">
        <f t="shared" si="46"/>
        <v>-36822.445350980364</v>
      </c>
      <c r="AK109" s="77">
        <f t="shared" si="47"/>
        <v>11598.650914219696</v>
      </c>
      <c r="AL109" s="77">
        <f t="shared" si="37"/>
        <v>12094.112622629575</v>
      </c>
      <c r="AM109" s="94"/>
      <c r="AN109" s="77">
        <v>-9013.1584454300737</v>
      </c>
      <c r="AO109" s="77">
        <v>365.83656513007554</v>
      </c>
      <c r="AP109" s="77">
        <v>-4888.3212444702795</v>
      </c>
      <c r="AQ109" s="77">
        <v>-28551.980380370012</v>
      </c>
      <c r="AR109" s="77">
        <v>6707.0805432000552</v>
      </c>
      <c r="AS109" s="77">
        <v>8735.7083779098866</v>
      </c>
      <c r="AT109" s="77"/>
      <c r="AU109" s="77"/>
      <c r="AV109" s="77"/>
      <c r="AW109" s="77"/>
      <c r="AX109" s="77"/>
      <c r="AY109" s="77"/>
      <c r="AZ109" s="77">
        <f t="shared" si="48"/>
        <v>-26644.834584030348</v>
      </c>
      <c r="BB109" s="77">
        <f t="shared" si="55"/>
        <v>-13535.643124770279</v>
      </c>
      <c r="BC109" s="77">
        <f t="shared" si="50"/>
        <v>-13109.19145926007</v>
      </c>
      <c r="BD109" s="77">
        <f t="shared" si="51"/>
        <v>0</v>
      </c>
      <c r="BE109" s="77">
        <f t="shared" si="52"/>
        <v>0</v>
      </c>
    </row>
    <row r="110" spans="1:61" ht="15.75">
      <c r="A110" s="47"/>
      <c r="B110" s="78"/>
      <c r="C110" s="78"/>
      <c r="D110" s="78"/>
      <c r="E110" s="78"/>
      <c r="F110" s="78"/>
      <c r="G110" s="78">
        <v>0</v>
      </c>
      <c r="H110" s="76">
        <v>0</v>
      </c>
      <c r="I110" s="76">
        <v>0</v>
      </c>
      <c r="J110" s="76">
        <v>0</v>
      </c>
      <c r="K110" s="76">
        <v>0</v>
      </c>
      <c r="L110" s="76">
        <v>0</v>
      </c>
      <c r="M110" s="76">
        <v>0</v>
      </c>
      <c r="N110" s="78">
        <f t="shared" si="33"/>
        <v>0</v>
      </c>
      <c r="P110" s="78">
        <f t="shared" si="53"/>
        <v>0</v>
      </c>
      <c r="Q110" s="78">
        <f t="shared" si="43"/>
        <v>0</v>
      </c>
      <c r="R110" s="78">
        <f t="shared" si="44"/>
        <v>0</v>
      </c>
      <c r="S110" s="78">
        <f t="shared" si="45"/>
        <v>0</v>
      </c>
      <c r="T110" s="97"/>
      <c r="U110" s="78">
        <v>0</v>
      </c>
      <c r="V110" s="78">
        <v>0</v>
      </c>
      <c r="W110" s="78">
        <v>0</v>
      </c>
      <c r="X110" s="78">
        <v>0</v>
      </c>
      <c r="Y110" s="78">
        <v>0</v>
      </c>
      <c r="Z110" s="78">
        <v>0</v>
      </c>
      <c r="AA110" s="78">
        <v>0</v>
      </c>
      <c r="AB110" s="78">
        <v>0</v>
      </c>
      <c r="AC110" s="78"/>
      <c r="AD110" s="78">
        <v>0</v>
      </c>
      <c r="AE110" s="78">
        <v>0</v>
      </c>
      <c r="AF110" s="78">
        <v>0</v>
      </c>
      <c r="AG110" s="78">
        <f t="shared" si="35"/>
        <v>0</v>
      </c>
      <c r="AI110" s="78">
        <f t="shared" si="54"/>
        <v>0</v>
      </c>
      <c r="AJ110" s="78">
        <f t="shared" si="46"/>
        <v>0</v>
      </c>
      <c r="AK110" s="78">
        <f t="shared" si="47"/>
        <v>0</v>
      </c>
      <c r="AL110" s="78">
        <f t="shared" si="37"/>
        <v>0</v>
      </c>
      <c r="AM110" s="97"/>
      <c r="AN110" s="78"/>
      <c r="AO110" s="78"/>
      <c r="AP110" s="78"/>
      <c r="AQ110" s="78"/>
      <c r="AR110" s="78"/>
      <c r="AS110" s="78"/>
      <c r="AT110" s="78"/>
      <c r="AU110" s="78"/>
      <c r="AV110" s="78"/>
      <c r="AW110" s="78"/>
      <c r="AX110" s="78"/>
      <c r="AY110" s="78"/>
      <c r="AZ110" s="78">
        <f t="shared" si="48"/>
        <v>0</v>
      </c>
      <c r="BB110" s="78">
        <f t="shared" si="55"/>
        <v>0</v>
      </c>
      <c r="BC110" s="78">
        <f t="shared" si="50"/>
        <v>0</v>
      </c>
      <c r="BD110" s="78">
        <f t="shared" si="51"/>
        <v>0</v>
      </c>
      <c r="BE110" s="78">
        <f t="shared" si="52"/>
        <v>0</v>
      </c>
    </row>
    <row r="111" spans="1:61" ht="31.5">
      <c r="A111" s="48" t="s">
        <v>157</v>
      </c>
      <c r="B111" s="68">
        <v>0</v>
      </c>
      <c r="C111" s="68">
        <v>0</v>
      </c>
      <c r="D111" s="68">
        <v>-2335.769953</v>
      </c>
      <c r="E111" s="68">
        <v>233.57699500000001</v>
      </c>
      <c r="F111" s="68">
        <v>0</v>
      </c>
      <c r="G111" s="68">
        <v>-1808.882355</v>
      </c>
      <c r="H111" s="68">
        <v>0</v>
      </c>
      <c r="I111" s="68">
        <v>0</v>
      </c>
      <c r="J111" s="68">
        <v>-486.71147699999995</v>
      </c>
      <c r="K111" s="68">
        <v>0</v>
      </c>
      <c r="L111" s="68">
        <v>0</v>
      </c>
      <c r="M111" s="68">
        <v>9937.1621309999991</v>
      </c>
      <c r="N111" s="68">
        <f t="shared" si="33"/>
        <v>5539.375340999999</v>
      </c>
      <c r="P111" s="68">
        <f t="shared" si="53"/>
        <v>-2335.769953</v>
      </c>
      <c r="Q111" s="68">
        <f t="shared" si="43"/>
        <v>-1575.3053599999998</v>
      </c>
      <c r="R111" s="68">
        <f t="shared" si="44"/>
        <v>-486.71147699999995</v>
      </c>
      <c r="S111" s="68">
        <f t="shared" si="45"/>
        <v>9937.1621309999991</v>
      </c>
      <c r="T111" s="88"/>
      <c r="U111" s="68">
        <v>0</v>
      </c>
      <c r="V111" s="68">
        <v>0</v>
      </c>
      <c r="W111" s="68">
        <v>-567.19007899999997</v>
      </c>
      <c r="X111" s="68">
        <v>0</v>
      </c>
      <c r="Y111" s="68">
        <v>-63.021120000000003</v>
      </c>
      <c r="Z111" s="68">
        <v>1234.87336</v>
      </c>
      <c r="AA111" s="68">
        <v>-60.466209999999997</v>
      </c>
      <c r="AB111" s="68">
        <v>0</v>
      </c>
      <c r="AC111" s="68">
        <v>-332.14002900000003</v>
      </c>
      <c r="AD111" s="68">
        <v>0</v>
      </c>
      <c r="AE111" s="68">
        <v>33.214002000000001</v>
      </c>
      <c r="AF111" s="68">
        <v>-8316.0862980000002</v>
      </c>
      <c r="AG111" s="68">
        <f t="shared" si="35"/>
        <v>-8070.816374</v>
      </c>
      <c r="AI111" s="68">
        <f t="shared" si="54"/>
        <v>-567.19007899999997</v>
      </c>
      <c r="AJ111" s="68">
        <f t="shared" si="46"/>
        <v>1171.8522399999999</v>
      </c>
      <c r="AK111" s="68">
        <f t="shared" si="47"/>
        <v>-392.60623900000002</v>
      </c>
      <c r="AL111" s="68">
        <f t="shared" si="37"/>
        <v>-8282.8722959999996</v>
      </c>
      <c r="AM111" s="88"/>
      <c r="AN111" s="68">
        <v>0</v>
      </c>
      <c r="AO111" s="68">
        <v>0</v>
      </c>
      <c r="AP111" s="68">
        <v>1825.8924199999999</v>
      </c>
      <c r="AQ111" s="68">
        <v>182.58924200000001</v>
      </c>
      <c r="AR111" s="68">
        <v>-366.45985999999999</v>
      </c>
      <c r="AS111" s="68">
        <v>553.56392000000005</v>
      </c>
      <c r="AT111" s="68"/>
      <c r="AU111" s="68"/>
      <c r="AV111" s="68"/>
      <c r="AW111" s="68"/>
      <c r="AX111" s="68"/>
      <c r="AY111" s="68"/>
      <c r="AZ111" s="68">
        <f t="shared" si="48"/>
        <v>2195.5857219999998</v>
      </c>
      <c r="BB111" s="68">
        <f t="shared" si="55"/>
        <v>1825.8924199999999</v>
      </c>
      <c r="BC111" s="68">
        <f t="shared" si="50"/>
        <v>369.69330200000007</v>
      </c>
      <c r="BD111" s="68">
        <f t="shared" si="51"/>
        <v>0</v>
      </c>
      <c r="BE111" s="68">
        <f t="shared" si="52"/>
        <v>0</v>
      </c>
    </row>
    <row r="112" spans="1:61" ht="15.75">
      <c r="A112" s="47"/>
      <c r="B112" s="78"/>
      <c r="C112" s="78"/>
      <c r="D112" s="78"/>
      <c r="E112" s="78"/>
      <c r="F112" s="78"/>
      <c r="G112" s="78">
        <v>0</v>
      </c>
      <c r="H112" s="76">
        <v>0</v>
      </c>
      <c r="I112" s="76">
        <v>0</v>
      </c>
      <c r="J112" s="76">
        <v>0</v>
      </c>
      <c r="K112" s="76">
        <v>0</v>
      </c>
      <c r="L112" s="76">
        <v>0</v>
      </c>
      <c r="M112" s="76">
        <v>0</v>
      </c>
      <c r="N112" s="78">
        <f t="shared" si="33"/>
        <v>0</v>
      </c>
      <c r="P112" s="78">
        <f t="shared" si="53"/>
        <v>0</v>
      </c>
      <c r="Q112" s="78">
        <f t="shared" si="43"/>
        <v>0</v>
      </c>
      <c r="R112" s="78">
        <f t="shared" si="44"/>
        <v>0</v>
      </c>
      <c r="S112" s="78">
        <f t="shared" si="45"/>
        <v>0</v>
      </c>
      <c r="T112" s="97"/>
      <c r="U112" s="78">
        <v>0</v>
      </c>
      <c r="V112" s="78">
        <v>0</v>
      </c>
      <c r="W112" s="78">
        <v>0</v>
      </c>
      <c r="X112" s="78">
        <v>0</v>
      </c>
      <c r="Y112" s="78">
        <v>0</v>
      </c>
      <c r="Z112" s="78">
        <v>0</v>
      </c>
      <c r="AA112" s="78">
        <v>0</v>
      </c>
      <c r="AB112" s="78">
        <v>0</v>
      </c>
      <c r="AC112" s="78"/>
      <c r="AD112" s="78">
        <v>0</v>
      </c>
      <c r="AE112" s="78">
        <v>0</v>
      </c>
      <c r="AF112" s="78">
        <v>0</v>
      </c>
      <c r="AG112" s="78">
        <f t="shared" si="35"/>
        <v>0</v>
      </c>
      <c r="AI112" s="78">
        <f t="shared" si="54"/>
        <v>0</v>
      </c>
      <c r="AJ112" s="78">
        <f t="shared" si="46"/>
        <v>0</v>
      </c>
      <c r="AK112" s="78">
        <f t="shared" si="47"/>
        <v>0</v>
      </c>
      <c r="AL112" s="78">
        <f t="shared" si="37"/>
        <v>0</v>
      </c>
      <c r="AM112" s="97"/>
      <c r="AN112" s="78"/>
      <c r="AO112" s="78"/>
      <c r="AP112" s="78"/>
      <c r="AQ112" s="78"/>
      <c r="AR112" s="78"/>
      <c r="AS112" s="78"/>
      <c r="AT112" s="78"/>
      <c r="AU112" s="78"/>
      <c r="AV112" s="78"/>
      <c r="AW112" s="78"/>
      <c r="AX112" s="78"/>
      <c r="AY112" s="78"/>
      <c r="AZ112" s="78">
        <f t="shared" si="48"/>
        <v>0</v>
      </c>
      <c r="BB112" s="78">
        <f t="shared" si="55"/>
        <v>0</v>
      </c>
      <c r="BC112" s="78">
        <f t="shared" si="50"/>
        <v>0</v>
      </c>
      <c r="BD112" s="78">
        <f t="shared" si="51"/>
        <v>0</v>
      </c>
      <c r="BE112" s="78">
        <f t="shared" si="52"/>
        <v>0</v>
      </c>
    </row>
    <row r="113" spans="1:59" ht="15.75">
      <c r="A113" s="42" t="s">
        <v>158</v>
      </c>
      <c r="B113" s="79">
        <v>3226.159286300046</v>
      </c>
      <c r="C113" s="79">
        <v>13965.219645629928</v>
      </c>
      <c r="D113" s="79">
        <v>-4042.7776052099202</v>
      </c>
      <c r="E113" s="79">
        <v>3189.6282752300026</v>
      </c>
      <c r="F113" s="79">
        <v>5298.57341764997</v>
      </c>
      <c r="G113" s="79">
        <v>-2505.8235430200693</v>
      </c>
      <c r="H113" s="79">
        <v>8684.2044626300139</v>
      </c>
      <c r="I113" s="79">
        <v>5720.9968511798852</v>
      </c>
      <c r="J113" s="79">
        <v>-11820.566000890023</v>
      </c>
      <c r="K113" s="79">
        <v>61071.129919909938</v>
      </c>
      <c r="L113" s="79">
        <v>-10958.075590710121</v>
      </c>
      <c r="M113" s="79">
        <v>-17195.939477650107</v>
      </c>
      <c r="N113" s="79">
        <f t="shared" si="33"/>
        <v>54632.72964104954</v>
      </c>
      <c r="P113" s="79">
        <f t="shared" si="53"/>
        <v>13148.601326720056</v>
      </c>
      <c r="Q113" s="79">
        <f t="shared" si="43"/>
        <v>5982.3781498599037</v>
      </c>
      <c r="R113" s="79">
        <f t="shared" si="44"/>
        <v>2584.635312919876</v>
      </c>
      <c r="S113" s="79">
        <f t="shared" si="45"/>
        <v>32917.114851549712</v>
      </c>
      <c r="T113" s="98"/>
      <c r="U113" s="79">
        <v>1872.7757642799106</v>
      </c>
      <c r="V113" s="79">
        <v>-10876.905718410104</v>
      </c>
      <c r="W113" s="79">
        <v>-15639.044490480119</v>
      </c>
      <c r="X113" s="79">
        <v>-8007.3872916100399</v>
      </c>
      <c r="Y113" s="79">
        <v>-1270.9720069801522</v>
      </c>
      <c r="Z113" s="79">
        <v>-26372.233812390172</v>
      </c>
      <c r="AA113" s="79">
        <v>1419.0285951399796</v>
      </c>
      <c r="AB113" s="79">
        <v>-8658.89991414014</v>
      </c>
      <c r="AC113" s="79">
        <v>18445.915994219857</v>
      </c>
      <c r="AD113" s="79">
        <v>-7427.0413675201507</v>
      </c>
      <c r="AE113" s="79">
        <v>2661.5741356898266</v>
      </c>
      <c r="AF113" s="79">
        <v>8576.7075584598988</v>
      </c>
      <c r="AG113" s="79">
        <f t="shared" si="35"/>
        <v>-45276.482553741393</v>
      </c>
      <c r="AI113" s="79">
        <f t="shared" si="54"/>
        <v>-24643.174444610311</v>
      </c>
      <c r="AJ113" s="79">
        <f t="shared" si="46"/>
        <v>-35650.593110980364</v>
      </c>
      <c r="AK113" s="79">
        <f t="shared" si="47"/>
        <v>11206.044675219697</v>
      </c>
      <c r="AL113" s="79">
        <f t="shared" si="37"/>
        <v>3811.2403266295751</v>
      </c>
      <c r="AM113" s="98"/>
      <c r="AN113" s="79">
        <v>-9013.1584454300737</v>
      </c>
      <c r="AO113" s="79">
        <v>365.83656513007554</v>
      </c>
      <c r="AP113" s="79">
        <v>-3062.4288244702793</v>
      </c>
      <c r="AQ113" s="79">
        <v>-28369.391138370011</v>
      </c>
      <c r="AR113" s="79">
        <v>6340.6206832000553</v>
      </c>
      <c r="AS113" s="79">
        <v>9289.2722979098871</v>
      </c>
      <c r="AT113" s="79"/>
      <c r="AU113" s="79"/>
      <c r="AV113" s="79"/>
      <c r="AW113" s="79"/>
      <c r="AX113" s="79"/>
      <c r="AY113" s="79"/>
      <c r="AZ113" s="79">
        <f t="shared" si="48"/>
        <v>-24449.248862030345</v>
      </c>
      <c r="BB113" s="79">
        <f t="shared" si="55"/>
        <v>-11709.750704770278</v>
      </c>
      <c r="BC113" s="79">
        <f t="shared" si="50"/>
        <v>-12739.49815726007</v>
      </c>
      <c r="BD113" s="79">
        <f t="shared" si="51"/>
        <v>0</v>
      </c>
      <c r="BE113" s="79">
        <f t="shared" si="52"/>
        <v>0</v>
      </c>
    </row>
    <row r="114" spans="1:59">
      <c r="A114" s="41"/>
      <c r="B114" s="64"/>
      <c r="C114" s="64"/>
      <c r="D114" s="64"/>
      <c r="E114" s="64"/>
      <c r="F114" s="64"/>
      <c r="G114" s="64"/>
      <c r="H114" s="64"/>
      <c r="I114" s="64"/>
      <c r="J114" s="64"/>
      <c r="K114" s="64"/>
      <c r="L114" s="64"/>
      <c r="M114" s="64"/>
      <c r="N114" s="64">
        <f t="shared" si="33"/>
        <v>0</v>
      </c>
      <c r="P114" s="64"/>
      <c r="Q114" s="64"/>
      <c r="R114" s="64"/>
      <c r="S114" s="64"/>
      <c r="T114" s="85"/>
      <c r="AN114" s="64"/>
      <c r="AO114" s="64"/>
      <c r="AP114" s="64"/>
      <c r="AQ114" s="64"/>
      <c r="AR114" s="64"/>
      <c r="AS114" s="64"/>
      <c r="AT114" s="64"/>
      <c r="AU114" s="64"/>
      <c r="AV114" s="64"/>
      <c r="AW114" s="64"/>
      <c r="AX114" s="64"/>
      <c r="AY114" s="64"/>
      <c r="AZ114" s="64">
        <f t="shared" si="48"/>
        <v>0</v>
      </c>
      <c r="BB114" s="64"/>
      <c r="BC114" s="64"/>
      <c r="BD114" s="64"/>
      <c r="BE114" s="64"/>
    </row>
    <row r="115" spans="1:59">
      <c r="A115" s="41"/>
      <c r="B115" s="64">
        <f t="shared" ref="B115:H115" si="76">+B5-B18-B22-B30-B34-B49-B55-B67-B77-B81-B84</f>
        <v>0</v>
      </c>
      <c r="C115" s="64">
        <f t="shared" si="76"/>
        <v>0</v>
      </c>
      <c r="D115" s="64">
        <f t="shared" si="76"/>
        <v>-5.4933479987084866E-9</v>
      </c>
      <c r="E115" s="64">
        <f t="shared" si="76"/>
        <v>0</v>
      </c>
      <c r="F115" s="64">
        <f t="shared" si="76"/>
        <v>0</v>
      </c>
      <c r="G115" s="64">
        <f t="shared" si="76"/>
        <v>1.5864855620748131E-2</v>
      </c>
      <c r="H115" s="64">
        <f t="shared" si="76"/>
        <v>-2.8000795282423496E-7</v>
      </c>
      <c r="I115" s="64">
        <v>0</v>
      </c>
      <c r="J115" s="64">
        <v>-3.2559910323470831E-9</v>
      </c>
      <c r="K115" s="64">
        <v>0</v>
      </c>
      <c r="L115" s="64">
        <v>0</v>
      </c>
      <c r="M115" s="64">
        <f>+M5-M18-M22-M30-M34-M49-M55-M67-M77-M81-M84</f>
        <v>2.0008075807709247E-5</v>
      </c>
      <c r="N115" s="64">
        <f t="shared" si="33"/>
        <v>1.5884574939263985E-2</v>
      </c>
      <c r="P115" s="64">
        <f t="shared" ref="P115:AG115" si="77">+P5-P18-P22-P30-P34-P49-P55-P67-P77-P81-P84</f>
        <v>-5.4569682106375694E-9</v>
      </c>
      <c r="Q115" s="64">
        <f t="shared" si="77"/>
        <v>1.5864855740801431E-2</v>
      </c>
      <c r="R115" s="64">
        <f t="shared" si="77"/>
        <v>-2.833257894963026E-7</v>
      </c>
      <c r="S115" s="64">
        <f t="shared" si="77"/>
        <v>2.0008126739412546E-5</v>
      </c>
      <c r="T115" s="85"/>
      <c r="U115" s="64">
        <f t="shared" si="77"/>
        <v>0</v>
      </c>
      <c r="V115" s="64">
        <f t="shared" si="77"/>
        <v>0</v>
      </c>
      <c r="W115" s="64">
        <f t="shared" si="77"/>
        <v>3.2741809263825417E-11</v>
      </c>
      <c r="X115" s="64">
        <f t="shared" si="77"/>
        <v>4.3655745685100555E-11</v>
      </c>
      <c r="Y115" s="64">
        <f t="shared" si="77"/>
        <v>5.4569682106375694E-11</v>
      </c>
      <c r="Z115" s="64">
        <f t="shared" si="77"/>
        <v>8.0035533756017685E-11</v>
      </c>
      <c r="AA115" s="64">
        <f t="shared" si="77"/>
        <v>-5.0931703299283981E-11</v>
      </c>
      <c r="AB115" s="64">
        <f t="shared" si="77"/>
        <v>-9.7707909990276676E-2</v>
      </c>
      <c r="AC115" s="64">
        <f t="shared" si="77"/>
        <v>-9.9462340585887432E-9</v>
      </c>
      <c r="AD115" s="64">
        <f t="shared" si="77"/>
        <v>0</v>
      </c>
      <c r="AE115" s="64">
        <f t="shared" si="77"/>
        <v>7.5003481470048428E-7</v>
      </c>
      <c r="AF115" s="64">
        <f t="shared" si="77"/>
        <v>2.4692000086361077E-2</v>
      </c>
      <c r="AG115" s="64">
        <f t="shared" si="77"/>
        <v>-7.3015169880818576E-2</v>
      </c>
      <c r="AN115" s="64">
        <f>+AN5-AN18-AN22-AN30-AN34-AN49-AN55-AN67-AN77-AN81-AN84</f>
        <v>-1.127773430198431E-10</v>
      </c>
      <c r="AO115" s="64">
        <f>+AO5-AO18-AO22-AO30-AO34-AO49-AO55-AO67-AO77-AO81-AO84</f>
        <v>0</v>
      </c>
      <c r="AP115" s="64">
        <v>3.2741809263825417E-11</v>
      </c>
      <c r="AQ115" s="64">
        <f t="shared" ref="AQ115:AV115" si="78">+AQ5-AQ18-AQ22-AQ30-AQ34-AQ49-AQ55-AQ67-AQ77-AQ81-AQ84</f>
        <v>5.0931703299283981E-11</v>
      </c>
      <c r="AR115" s="64">
        <f t="shared" si="78"/>
        <v>2.4010660126805305E-10</v>
      </c>
      <c r="AS115" s="64">
        <f t="shared" si="78"/>
        <v>2.2260120102146175E-2</v>
      </c>
      <c r="AT115" s="64">
        <f t="shared" si="78"/>
        <v>0</v>
      </c>
      <c r="AU115" s="64">
        <f t="shared" si="78"/>
        <v>0</v>
      </c>
      <c r="AV115" s="64">
        <f t="shared" si="78"/>
        <v>0</v>
      </c>
      <c r="AW115" s="64">
        <v>0</v>
      </c>
      <c r="AX115" s="64">
        <v>0</v>
      </c>
      <c r="AY115" s="64">
        <v>0</v>
      </c>
      <c r="AZ115" s="64">
        <f t="shared" si="48"/>
        <v>2.2260120313148946E-2</v>
      </c>
      <c r="BB115" s="64">
        <f>+BB5-BB18-BB22-BB30-BB34-BB49-BB55-BB67-BB77-BB81-BB84</f>
        <v>-3.3469405025243759E-10</v>
      </c>
      <c r="BC115" s="64">
        <f>+BC5-BC18-BC22-BC30-BC34-BC49-BC55-BC67-BC77-BC81-BC84</f>
        <v>2.2260120487771928E-2</v>
      </c>
      <c r="BD115" s="64">
        <f>+BD5-BD18-BD22-BD30-BD34-BD49-BD55-BD67-BD77-BD81-BD84</f>
        <v>0</v>
      </c>
      <c r="BE115" s="64">
        <f>+BE5-BE18-BE22-BE30-BE34-BE49-BE55-BE67-BE77-BE81-BE84</f>
        <v>0</v>
      </c>
    </row>
    <row r="116" spans="1:59">
      <c r="A116" s="41"/>
      <c r="B116" s="50">
        <f>+B84-B88-B89-B91-B92-B94</f>
        <v>-1.8189894035458565E-11</v>
      </c>
      <c r="C116" s="50">
        <f>+C84-C88-C89-C91-C92-C94</f>
        <v>0.49062748994401773</v>
      </c>
      <c r="D116" s="50">
        <f>+D84-D88-D89-D91-D92-D94</f>
        <v>0</v>
      </c>
      <c r="E116" s="50">
        <f>+E84-E88-E89-E91-E92-E94</f>
        <v>0</v>
      </c>
      <c r="F116" s="50">
        <f>+F84-F88-F89-F91-F92-F94</f>
        <v>0</v>
      </c>
      <c r="G116" s="50">
        <v>0</v>
      </c>
      <c r="H116" s="50">
        <f>+H84-H88-H89-H91-H92-H94</f>
        <v>0</v>
      </c>
      <c r="I116" s="50">
        <v>0</v>
      </c>
      <c r="J116" s="50">
        <v>0</v>
      </c>
      <c r="K116" s="50">
        <v>0</v>
      </c>
      <c r="L116" s="50">
        <v>0</v>
      </c>
      <c r="M116" s="50">
        <f>+M84-M88-M89-M91-M92-M94</f>
        <v>0</v>
      </c>
      <c r="N116" s="50">
        <f t="shared" si="33"/>
        <v>0.49062748992582783</v>
      </c>
      <c r="P116" s="50">
        <f t="shared" ref="P116:AG116" si="79">+P84-P88-P89-P91-P92-P94</f>
        <v>0.49062748990763794</v>
      </c>
      <c r="Q116" s="50">
        <f t="shared" si="79"/>
        <v>0</v>
      </c>
      <c r="R116" s="50">
        <f t="shared" si="79"/>
        <v>0</v>
      </c>
      <c r="S116" s="50">
        <f t="shared" si="79"/>
        <v>0</v>
      </c>
      <c r="U116" s="50">
        <f t="shared" si="79"/>
        <v>0</v>
      </c>
      <c r="V116" s="50">
        <f t="shared" si="79"/>
        <v>0</v>
      </c>
      <c r="W116" s="50">
        <f t="shared" si="79"/>
        <v>0</v>
      </c>
      <c r="X116" s="50">
        <f t="shared" si="79"/>
        <v>-5.3205440053716302E-11</v>
      </c>
      <c r="Y116" s="50">
        <f t="shared" si="79"/>
        <v>-3.637978807091713E-12</v>
      </c>
      <c r="Z116" s="50">
        <f t="shared" si="79"/>
        <v>0</v>
      </c>
      <c r="AA116" s="50">
        <f t="shared" si="79"/>
        <v>0</v>
      </c>
      <c r="AB116" s="50">
        <f t="shared" si="79"/>
        <v>4.0927261579781771E-11</v>
      </c>
      <c r="AC116" s="50">
        <f t="shared" si="79"/>
        <v>0</v>
      </c>
      <c r="AD116" s="50">
        <f t="shared" si="79"/>
        <v>0</v>
      </c>
      <c r="AE116" s="50">
        <f t="shared" si="79"/>
        <v>0</v>
      </c>
      <c r="AF116" s="50">
        <f t="shared" si="79"/>
        <v>0</v>
      </c>
      <c r="AG116" s="50">
        <f t="shared" si="79"/>
        <v>4.3655745685100555E-11</v>
      </c>
      <c r="AN116" s="50">
        <f t="shared" ref="AN116:AY116" si="80">+AN84-AN88-AN89-AN90-AN92-AN94-AN91</f>
        <v>-6.1390892369672656E-12</v>
      </c>
      <c r="AO116" s="50">
        <f t="shared" si="80"/>
        <v>-2.9558577807620168E-12</v>
      </c>
      <c r="AP116" s="50">
        <f t="shared" si="80"/>
        <v>3.751665644813329E-12</v>
      </c>
      <c r="AQ116" s="50">
        <f t="shared" si="80"/>
        <v>2.1600499167107046E-12</v>
      </c>
      <c r="AR116" s="50">
        <f t="shared" si="80"/>
        <v>9.2654772743117064E-12</v>
      </c>
      <c r="AS116" s="50">
        <f t="shared" si="80"/>
        <v>8.0717654782347381E-12</v>
      </c>
      <c r="AT116" s="50">
        <f t="shared" si="80"/>
        <v>0</v>
      </c>
      <c r="AU116" s="50">
        <f t="shared" si="80"/>
        <v>0</v>
      </c>
      <c r="AV116" s="50">
        <f t="shared" si="80"/>
        <v>0</v>
      </c>
      <c r="AW116" s="50">
        <f t="shared" si="80"/>
        <v>0</v>
      </c>
      <c r="AX116" s="50">
        <f t="shared" si="80"/>
        <v>0</v>
      </c>
      <c r="AY116" s="50">
        <f t="shared" si="80"/>
        <v>0</v>
      </c>
      <c r="AZ116" s="50">
        <f t="shared" ref="AZ116" si="81">+AZ84-AZ88-AZ89-AZ90-AZ92-AZ94-AZ91</f>
        <v>2.8649083105847239E-11</v>
      </c>
      <c r="BA116" s="99"/>
      <c r="BB116" s="50">
        <f>+BB84-BB88-BB89-BB90-BB92-BB94-BB91</f>
        <v>-1.2732925824820995E-11</v>
      </c>
      <c r="BC116" s="50">
        <f>+BC84-BC88-BC89-BC90-BC92-BC94-BC91</f>
        <v>4.8885340220294893E-12</v>
      </c>
      <c r="BD116" s="50">
        <f>+BD84-BD88-BD89-BD90-BD92-BD94-BD91</f>
        <v>0</v>
      </c>
      <c r="BE116" s="50">
        <f>+BE84-BE88-BE89-BE90-BE92-BE94-BE91</f>
        <v>0</v>
      </c>
    </row>
    <row r="117" spans="1:59">
      <c r="A117" s="41"/>
      <c r="B117" s="50">
        <f>+B94+B96-B102</f>
        <v>0</v>
      </c>
      <c r="C117" s="50">
        <f t="shared" ref="C117:BG117" si="82">+C94+C96-C102</f>
        <v>0</v>
      </c>
      <c r="D117" s="50">
        <f t="shared" si="82"/>
        <v>0</v>
      </c>
      <c r="E117" s="50">
        <f t="shared" si="82"/>
        <v>0</v>
      </c>
      <c r="F117" s="50">
        <f t="shared" si="82"/>
        <v>0</v>
      </c>
      <c r="G117" s="50">
        <f t="shared" si="82"/>
        <v>0</v>
      </c>
      <c r="H117" s="50">
        <f t="shared" si="82"/>
        <v>0</v>
      </c>
      <c r="I117" s="50">
        <f t="shared" si="82"/>
        <v>0</v>
      </c>
      <c r="J117" s="50">
        <f t="shared" si="82"/>
        <v>0</v>
      </c>
      <c r="K117" s="50">
        <f t="shared" si="82"/>
        <v>0</v>
      </c>
      <c r="L117" s="50">
        <f t="shared" si="82"/>
        <v>0</v>
      </c>
      <c r="M117" s="50">
        <f t="shared" si="82"/>
        <v>0</v>
      </c>
      <c r="N117" s="50">
        <f t="shared" si="82"/>
        <v>0</v>
      </c>
      <c r="O117" s="99">
        <f t="shared" si="82"/>
        <v>0</v>
      </c>
      <c r="P117" s="50">
        <f t="shared" si="82"/>
        <v>0</v>
      </c>
      <c r="Q117" s="50">
        <f t="shared" si="82"/>
        <v>0</v>
      </c>
      <c r="R117" s="50">
        <f t="shared" si="82"/>
        <v>0</v>
      </c>
      <c r="S117" s="50">
        <f t="shared" si="82"/>
        <v>0</v>
      </c>
      <c r="U117" s="50">
        <f t="shared" si="82"/>
        <v>0</v>
      </c>
      <c r="V117" s="50">
        <f t="shared" si="82"/>
        <v>0</v>
      </c>
      <c r="W117" s="50">
        <f t="shared" si="82"/>
        <v>0</v>
      </c>
      <c r="X117" s="50">
        <f t="shared" si="82"/>
        <v>-4.0017766878008842E-11</v>
      </c>
      <c r="Y117" s="50">
        <f t="shared" si="82"/>
        <v>0</v>
      </c>
      <c r="Z117" s="50">
        <f t="shared" si="82"/>
        <v>0</v>
      </c>
      <c r="AA117" s="50">
        <f t="shared" si="82"/>
        <v>0</v>
      </c>
      <c r="AB117" s="50">
        <f t="shared" si="82"/>
        <v>-2.5638003899075557E-4</v>
      </c>
      <c r="AC117" s="50">
        <f t="shared" si="82"/>
        <v>0</v>
      </c>
      <c r="AD117" s="50">
        <f t="shared" si="82"/>
        <v>0</v>
      </c>
      <c r="AE117" s="50">
        <f t="shared" si="82"/>
        <v>0</v>
      </c>
      <c r="AF117" s="50">
        <f t="shared" si="82"/>
        <v>0</v>
      </c>
      <c r="AG117" s="50">
        <f t="shared" si="82"/>
        <v>-2.5638008082751185E-4</v>
      </c>
      <c r="AH117" s="99"/>
      <c r="AI117" s="50">
        <f t="shared" si="82"/>
        <v>0</v>
      </c>
      <c r="AJ117" s="50">
        <f t="shared" si="82"/>
        <v>0</v>
      </c>
      <c r="AK117" s="50">
        <f t="shared" si="82"/>
        <v>-2.5638003899075557E-4</v>
      </c>
      <c r="AL117" s="50">
        <f t="shared" si="82"/>
        <v>0</v>
      </c>
      <c r="AM117" s="99"/>
      <c r="AN117" s="50">
        <f t="shared" si="82"/>
        <v>0</v>
      </c>
      <c r="AO117" s="50">
        <f t="shared" si="82"/>
        <v>0</v>
      </c>
      <c r="AP117" s="50">
        <f t="shared" si="82"/>
        <v>0</v>
      </c>
      <c r="AQ117" s="50">
        <f t="shared" si="82"/>
        <v>0</v>
      </c>
      <c r="AR117" s="50">
        <f t="shared" si="82"/>
        <v>0</v>
      </c>
      <c r="AS117" s="50">
        <f t="shared" si="82"/>
        <v>0</v>
      </c>
      <c r="AT117" s="50">
        <f t="shared" si="82"/>
        <v>0</v>
      </c>
      <c r="AU117" s="50">
        <f t="shared" si="82"/>
        <v>0</v>
      </c>
      <c r="AV117" s="50">
        <f t="shared" si="82"/>
        <v>0</v>
      </c>
      <c r="AW117" s="50">
        <f t="shared" si="82"/>
        <v>0</v>
      </c>
      <c r="AX117" s="50">
        <f t="shared" si="82"/>
        <v>0</v>
      </c>
      <c r="AY117" s="50">
        <f t="shared" si="82"/>
        <v>0</v>
      </c>
      <c r="AZ117" s="50">
        <f t="shared" ref="AZ117" si="83">+AZ94+AZ96-AZ102</f>
        <v>0</v>
      </c>
      <c r="BA117" s="99">
        <f t="shared" si="82"/>
        <v>0</v>
      </c>
      <c r="BB117" s="50">
        <f t="shared" si="82"/>
        <v>0</v>
      </c>
      <c r="BC117" s="50">
        <f t="shared" si="82"/>
        <v>0</v>
      </c>
      <c r="BD117" s="50">
        <f t="shared" si="82"/>
        <v>0</v>
      </c>
      <c r="BE117" s="50">
        <f t="shared" si="82"/>
        <v>0</v>
      </c>
      <c r="BF117" s="50">
        <f t="shared" si="82"/>
        <v>0</v>
      </c>
      <c r="BG117" s="50">
        <f t="shared" si="82"/>
        <v>0</v>
      </c>
    </row>
    <row r="118" spans="1:59">
      <c r="A118" s="41"/>
      <c r="B118" s="50">
        <f>+B102+B104-B109</f>
        <v>0</v>
      </c>
      <c r="C118" s="50">
        <f t="shared" ref="C118:BE118" si="84">+C102+C104-C109</f>
        <v>0</v>
      </c>
      <c r="D118" s="50">
        <f t="shared" si="84"/>
        <v>0</v>
      </c>
      <c r="E118" s="50">
        <f t="shared" si="84"/>
        <v>-6.5821399998640118E-3</v>
      </c>
      <c r="F118" s="50">
        <f t="shared" si="84"/>
        <v>0</v>
      </c>
      <c r="G118" s="50">
        <f t="shared" si="84"/>
        <v>0</v>
      </c>
      <c r="H118" s="50">
        <f t="shared" si="84"/>
        <v>0</v>
      </c>
      <c r="I118" s="50">
        <f t="shared" si="84"/>
        <v>0</v>
      </c>
      <c r="J118" s="50">
        <f t="shared" si="84"/>
        <v>0</v>
      </c>
      <c r="K118" s="50">
        <f t="shared" si="84"/>
        <v>0</v>
      </c>
      <c r="L118" s="50">
        <f>+L102+L104-L109</f>
        <v>0</v>
      </c>
      <c r="M118" s="50">
        <f t="shared" si="84"/>
        <v>0</v>
      </c>
      <c r="N118" s="50">
        <f t="shared" si="84"/>
        <v>-6.5821399912238121E-3</v>
      </c>
      <c r="O118" s="99">
        <f t="shared" si="84"/>
        <v>0</v>
      </c>
      <c r="P118" s="50">
        <f t="shared" si="84"/>
        <v>0</v>
      </c>
      <c r="Q118" s="50">
        <f t="shared" si="84"/>
        <v>-6.5821399984997697E-3</v>
      </c>
      <c r="R118" s="50">
        <f t="shared" si="84"/>
        <v>0</v>
      </c>
      <c r="S118" s="50">
        <f t="shared" si="84"/>
        <v>0</v>
      </c>
      <c r="T118" s="50">
        <f t="shared" si="84"/>
        <v>0</v>
      </c>
      <c r="U118" s="50">
        <f t="shared" si="84"/>
        <v>0</v>
      </c>
      <c r="V118" s="50">
        <f t="shared" si="84"/>
        <v>0</v>
      </c>
      <c r="W118" s="50">
        <f t="shared" si="84"/>
        <v>0</v>
      </c>
      <c r="X118" s="50">
        <f t="shared" si="84"/>
        <v>4.0017766878008842E-11</v>
      </c>
      <c r="Y118" s="50">
        <f t="shared" si="84"/>
        <v>0</v>
      </c>
      <c r="Z118" s="50">
        <f t="shared" si="84"/>
        <v>0</v>
      </c>
      <c r="AA118" s="50">
        <f t="shared" si="84"/>
        <v>0</v>
      </c>
      <c r="AB118" s="50">
        <f t="shared" si="84"/>
        <v>4.0017766878008842E-11</v>
      </c>
      <c r="AC118" s="50">
        <f t="shared" si="84"/>
        <v>0</v>
      </c>
      <c r="AD118" s="50">
        <f t="shared" si="84"/>
        <v>0</v>
      </c>
      <c r="AE118" s="50">
        <f t="shared" si="84"/>
        <v>0</v>
      </c>
      <c r="AF118" s="50">
        <f t="shared" si="84"/>
        <v>0</v>
      </c>
      <c r="AG118" s="50">
        <f t="shared" si="84"/>
        <v>7.2759576141834259E-11</v>
      </c>
      <c r="AH118" s="99"/>
      <c r="AI118" s="50">
        <f t="shared" si="84"/>
        <v>0</v>
      </c>
      <c r="AJ118" s="50">
        <f t="shared" si="84"/>
        <v>0</v>
      </c>
      <c r="AK118" s="50">
        <f t="shared" si="84"/>
        <v>4.1836756281554699E-11</v>
      </c>
      <c r="AL118" s="50">
        <f t="shared" si="84"/>
        <v>0</v>
      </c>
      <c r="AM118" s="99"/>
      <c r="AN118" s="50">
        <f t="shared" si="84"/>
        <v>0</v>
      </c>
      <c r="AO118" s="50">
        <f t="shared" si="84"/>
        <v>0</v>
      </c>
      <c r="AP118" s="50">
        <f t="shared" si="84"/>
        <v>0</v>
      </c>
      <c r="AQ118" s="50">
        <f t="shared" si="84"/>
        <v>0</v>
      </c>
      <c r="AR118" s="50">
        <f t="shared" si="84"/>
        <v>0</v>
      </c>
      <c r="AS118" s="50">
        <f t="shared" si="84"/>
        <v>0</v>
      </c>
      <c r="AT118" s="50">
        <f t="shared" si="84"/>
        <v>0</v>
      </c>
      <c r="AU118" s="50">
        <f t="shared" si="84"/>
        <v>0</v>
      </c>
      <c r="AV118" s="50">
        <f t="shared" si="84"/>
        <v>0</v>
      </c>
      <c r="AW118" s="50">
        <f t="shared" si="84"/>
        <v>0</v>
      </c>
      <c r="AX118" s="50">
        <f t="shared" si="84"/>
        <v>0</v>
      </c>
      <c r="AY118" s="50">
        <f t="shared" si="84"/>
        <v>0</v>
      </c>
      <c r="AZ118" s="50">
        <f t="shared" ref="AZ118" si="85">+AZ102+AZ104-AZ109</f>
        <v>0</v>
      </c>
      <c r="BA118" s="99">
        <f t="shared" si="84"/>
        <v>0</v>
      </c>
      <c r="BB118" s="50">
        <f t="shared" si="84"/>
        <v>0</v>
      </c>
      <c r="BC118" s="50">
        <f t="shared" si="84"/>
        <v>0</v>
      </c>
      <c r="BD118" s="50">
        <f t="shared" si="84"/>
        <v>0</v>
      </c>
      <c r="BE118" s="50">
        <f t="shared" si="84"/>
        <v>0</v>
      </c>
    </row>
    <row r="119" spans="1:59">
      <c r="A119" s="41"/>
      <c r="B119" s="50">
        <f t="shared" ref="B119:F119" si="86">+B109+B111-B113</f>
        <v>0</v>
      </c>
      <c r="C119" s="50">
        <f t="shared" si="86"/>
        <v>0</v>
      </c>
      <c r="D119" s="50">
        <f t="shared" si="86"/>
        <v>0</v>
      </c>
      <c r="E119" s="50">
        <f t="shared" si="86"/>
        <v>0</v>
      </c>
      <c r="F119" s="50">
        <f t="shared" si="86"/>
        <v>0</v>
      </c>
      <c r="G119" s="50">
        <v>0</v>
      </c>
      <c r="H119" s="50">
        <f t="shared" ref="H119" si="87">+H109+H111-H113</f>
        <v>0</v>
      </c>
      <c r="I119" s="50">
        <v>0</v>
      </c>
      <c r="J119" s="50">
        <v>0</v>
      </c>
      <c r="K119" s="50">
        <v>0</v>
      </c>
      <c r="L119" s="50">
        <v>0</v>
      </c>
      <c r="M119" s="50">
        <f t="shared" ref="M119" si="88">+M109+M111-M113</f>
        <v>0</v>
      </c>
      <c r="N119" s="50">
        <f t="shared" si="33"/>
        <v>0</v>
      </c>
      <c r="AM119" s="99"/>
      <c r="AN119" s="50">
        <f t="shared" ref="AN119:AO119" si="89">+AN109+AN111-AN113</f>
        <v>0</v>
      </c>
      <c r="AO119" s="50">
        <f t="shared" si="89"/>
        <v>0</v>
      </c>
      <c r="AP119" s="50">
        <v>0</v>
      </c>
      <c r="AQ119" s="50">
        <f t="shared" ref="AQ119:AV119" si="90">+AQ109+AQ111-AQ113</f>
        <v>0</v>
      </c>
      <c r="AR119" s="50">
        <f t="shared" si="90"/>
        <v>0</v>
      </c>
      <c r="AS119" s="50">
        <f t="shared" si="90"/>
        <v>0</v>
      </c>
      <c r="AT119" s="50">
        <f t="shared" si="90"/>
        <v>0</v>
      </c>
      <c r="AU119" s="50">
        <f t="shared" si="90"/>
        <v>0</v>
      </c>
      <c r="AV119" s="50">
        <f t="shared" si="90"/>
        <v>0</v>
      </c>
      <c r="AW119" s="50">
        <v>0</v>
      </c>
      <c r="AX119" s="50">
        <v>0</v>
      </c>
      <c r="AY119" s="50">
        <v>0</v>
      </c>
      <c r="AZ119" s="50">
        <v>0</v>
      </c>
      <c r="BB119" s="50">
        <f t="shared" ref="BB119:BE119" si="91">+BB109+BB111-BB113</f>
        <v>0</v>
      </c>
      <c r="BC119" s="50">
        <f t="shared" si="91"/>
        <v>0</v>
      </c>
      <c r="BD119" s="50">
        <f t="shared" si="91"/>
        <v>0</v>
      </c>
      <c r="BE119" s="50">
        <f t="shared" si="91"/>
        <v>0</v>
      </c>
    </row>
    <row r="120" spans="1:59">
      <c r="A120" s="41"/>
      <c r="B120" s="50">
        <f>+B5-B16-B87+B96+B104-B113+B111</f>
        <v>-1.4551915228366852E-11</v>
      </c>
      <c r="C120" s="50">
        <f t="shared" ref="C120:BE120" si="92">+C5-C16-C87+C96+C104-C113+C111</f>
        <v>0.49062748994037975</v>
      </c>
      <c r="D120" s="50">
        <f t="shared" si="92"/>
        <v>-5.50062395632267E-9</v>
      </c>
      <c r="E120" s="50">
        <f t="shared" si="92"/>
        <v>-6.5821399706464945E-3</v>
      </c>
      <c r="F120" s="50">
        <f t="shared" si="92"/>
        <v>2.9103830456733704E-11</v>
      </c>
      <c r="G120" s="50">
        <f t="shared" si="92"/>
        <v>1.5864855609606821E-2</v>
      </c>
      <c r="H120" s="50">
        <f t="shared" si="92"/>
        <v>-2.8000795282423496E-7</v>
      </c>
      <c r="I120" s="50">
        <f t="shared" si="92"/>
        <v>-2.9103830456733704E-11</v>
      </c>
      <c r="J120" s="50">
        <f t="shared" si="92"/>
        <v>-3.2733851185184903E-9</v>
      </c>
      <c r="K120" s="50">
        <f t="shared" si="92"/>
        <v>0</v>
      </c>
      <c r="L120" s="50">
        <f t="shared" si="92"/>
        <v>0</v>
      </c>
      <c r="M120" s="50">
        <f t="shared" si="92"/>
        <v>2.0008066712762229E-5</v>
      </c>
      <c r="N120" s="50">
        <f t="shared" si="92"/>
        <v>0.49992992494662758</v>
      </c>
      <c r="O120" s="99">
        <f t="shared" si="92"/>
        <v>0</v>
      </c>
      <c r="P120" s="50">
        <f t="shared" si="92"/>
        <v>0.49062748446976912</v>
      </c>
      <c r="Q120" s="50">
        <f t="shared" si="92"/>
        <v>9.2827156863677374E-3</v>
      </c>
      <c r="R120" s="50">
        <f t="shared" si="92"/>
        <v>-2.8332135570963146E-7</v>
      </c>
      <c r="S120" s="50">
        <f t="shared" si="92"/>
        <v>2.0008157662232406E-5</v>
      </c>
      <c r="T120" s="50">
        <f t="shared" si="92"/>
        <v>0</v>
      </c>
      <c r="U120" s="50">
        <f t="shared" si="92"/>
        <v>0</v>
      </c>
      <c r="V120" s="50">
        <f t="shared" si="92"/>
        <v>0</v>
      </c>
      <c r="W120" s="50">
        <f t="shared" si="92"/>
        <v>2.9103830456733704E-11</v>
      </c>
      <c r="X120" s="50">
        <f t="shared" si="92"/>
        <v>-1.8189894035458565E-11</v>
      </c>
      <c r="Y120" s="50">
        <f t="shared" si="92"/>
        <v>4.376232709546457E-11</v>
      </c>
      <c r="Z120" s="50">
        <f t="shared" si="92"/>
        <v>7.1395334089174867E-11</v>
      </c>
      <c r="AA120" s="50">
        <f t="shared" si="92"/>
        <v>-4.3606007693597348E-11</v>
      </c>
      <c r="AB120" s="50">
        <f t="shared" si="92"/>
        <v>-9.7964289952869876E-2</v>
      </c>
      <c r="AC120" s="50">
        <f t="shared" si="92"/>
        <v>-9.9552153187687509E-9</v>
      </c>
      <c r="AD120" s="50">
        <f t="shared" si="92"/>
        <v>-1.4551915228366852E-11</v>
      </c>
      <c r="AE120" s="50">
        <f t="shared" si="92"/>
        <v>-1.6342482922482304E-13</v>
      </c>
      <c r="AF120" s="50">
        <f t="shared" si="92"/>
        <v>2.4692000064533204E-2</v>
      </c>
      <c r="AG120" s="50">
        <f t="shared" si="92"/>
        <v>-7.3272299710879452E-2</v>
      </c>
      <c r="AH120" s="99"/>
      <c r="AI120" s="50">
        <f t="shared" si="92"/>
        <v>-7.2759576141834259E-12</v>
      </c>
      <c r="AJ120" s="50">
        <f t="shared" si="92"/>
        <v>9.4360075308941305E-11</v>
      </c>
      <c r="AK120" s="50">
        <f t="shared" si="92"/>
        <v>-9.7964299971238233E-2</v>
      </c>
      <c r="AL120" s="50">
        <f t="shared" si="92"/>
        <v>2.4691999991773628E-2</v>
      </c>
      <c r="AM120" s="99"/>
      <c r="AN120" s="50">
        <f t="shared" si="92"/>
        <v>-1.1641532182693481E-10</v>
      </c>
      <c r="AO120" s="50">
        <f t="shared" si="92"/>
        <v>-5.8207660913467407E-11</v>
      </c>
      <c r="AP120" s="50">
        <f t="shared" si="92"/>
        <v>-1.4574652595911175E-10</v>
      </c>
      <c r="AQ120" s="50">
        <f t="shared" si="92"/>
        <v>2.7284841053187847E-11</v>
      </c>
      <c r="AR120" s="50">
        <f t="shared" si="92"/>
        <v>2.3277380023500882E-10</v>
      </c>
      <c r="AS120" s="50">
        <f t="shared" si="92"/>
        <v>2.22601201235193E-2</v>
      </c>
      <c r="AT120" s="50">
        <f t="shared" si="92"/>
        <v>0</v>
      </c>
      <c r="AU120" s="50">
        <f t="shared" si="92"/>
        <v>0</v>
      </c>
      <c r="AV120" s="50">
        <f t="shared" si="92"/>
        <v>0</v>
      </c>
      <c r="AW120" s="50">
        <f t="shared" si="92"/>
        <v>0</v>
      </c>
      <c r="AX120" s="50">
        <f t="shared" si="92"/>
        <v>0</v>
      </c>
      <c r="AY120" s="50">
        <f t="shared" si="92"/>
        <v>0</v>
      </c>
      <c r="AZ120" s="50">
        <f>+AZ5-AZ16-AZ87+AZ96+AZ104-AZ113+AZ111</f>
        <v>2.2260120073042344E-2</v>
      </c>
      <c r="BA120" s="99">
        <f t="shared" si="92"/>
        <v>0</v>
      </c>
      <c r="BB120" s="50">
        <f t="shared" si="92"/>
        <v>-3.276454663136974E-10</v>
      </c>
      <c r="BC120" s="50">
        <f t="shared" si="92"/>
        <v>2.2260120375392489E-2</v>
      </c>
      <c r="BD120" s="50">
        <f t="shared" si="92"/>
        <v>0</v>
      </c>
      <c r="BE120" s="50">
        <f t="shared" si="92"/>
        <v>0</v>
      </c>
      <c r="BF120" s="50">
        <f t="shared" ref="BF120:BG120" si="93">+BF5-BF16-BF87+BF96-BF104-BF113+BF111</f>
        <v>0</v>
      </c>
      <c r="BG120" s="50">
        <f t="shared" si="93"/>
        <v>0</v>
      </c>
    </row>
    <row r="121" spans="1:59">
      <c r="B121" s="50"/>
      <c r="C121" s="50"/>
      <c r="D121" s="50"/>
      <c r="E121" s="50"/>
      <c r="F121" s="50"/>
      <c r="G121" s="50"/>
      <c r="AM121" s="99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B121" s="50"/>
      <c r="BC121" s="50"/>
      <c r="BD121" s="50"/>
      <c r="BE121" s="50"/>
    </row>
    <row r="122" spans="1:59">
      <c r="B122" s="50"/>
      <c r="C122" s="50"/>
      <c r="D122" s="50"/>
      <c r="E122" s="50"/>
      <c r="F122" s="50"/>
      <c r="G122" s="50"/>
      <c r="R122" s="102">
        <v>-1</v>
      </c>
      <c r="AN122" s="50"/>
      <c r="AO122" s="50"/>
      <c r="AP122" s="50"/>
      <c r="AQ122" s="50"/>
      <c r="AR122" s="50"/>
      <c r="AS122" s="50">
        <v>1.113006006175965E-2</v>
      </c>
      <c r="AT122" s="50"/>
      <c r="AU122" s="50"/>
      <c r="AV122" s="50"/>
      <c r="AW122" s="50"/>
      <c r="AX122" s="50"/>
      <c r="AY122" s="50"/>
      <c r="AZ122" s="50"/>
      <c r="BB122" s="50"/>
      <c r="BC122" s="50"/>
      <c r="BD122" s="50"/>
      <c r="BE122" s="50"/>
    </row>
    <row r="123" spans="1:59">
      <c r="B123" s="50"/>
      <c r="C123" s="50"/>
      <c r="D123" s="50"/>
      <c r="E123" s="50"/>
      <c r="F123" s="50"/>
      <c r="G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B123" s="50"/>
      <c r="BC123" s="50"/>
      <c r="BD123" s="50"/>
      <c r="BE123" s="50"/>
    </row>
  </sheetData>
  <mergeCells count="7">
    <mergeCell ref="BB2:BE2"/>
    <mergeCell ref="A2:A3"/>
    <mergeCell ref="B2:M2"/>
    <mergeCell ref="P2:S2"/>
    <mergeCell ref="U2:AF2"/>
    <mergeCell ref="AI2:AL2"/>
    <mergeCell ref="AN2:AY2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L78"/>
  <sheetViews>
    <sheetView showGridLines="0" tabSelected="1" workbookViewId="0">
      <pane xSplit="1" ySplit="2" topLeftCell="B28" activePane="bottomRight" state="frozen"/>
      <selection pane="topRight" activeCell="C19" sqref="C19"/>
      <selection pane="bottomLeft" activeCell="C19" sqref="C19"/>
      <selection pane="bottomRight" activeCell="I48" sqref="I48"/>
    </sheetView>
  </sheetViews>
  <sheetFormatPr baseColWidth="10" defaultColWidth="10.85546875" defaultRowHeight="12.75"/>
  <cols>
    <col min="1" max="1" width="35.5703125" style="107" bestFit="1" customWidth="1"/>
    <col min="2" max="2" width="16.42578125" style="107" customWidth="1"/>
    <col min="3" max="4" width="11.140625" style="107" bestFit="1" customWidth="1"/>
    <col min="5" max="16384" width="10.85546875" style="107"/>
  </cols>
  <sheetData>
    <row r="1" spans="1:4">
      <c r="A1" s="172" t="s">
        <v>159</v>
      </c>
      <c r="B1" s="172"/>
      <c r="C1" s="172"/>
      <c r="D1" s="172"/>
    </row>
    <row r="2" spans="1:4" s="130" customFormat="1">
      <c r="B2" s="129">
        <v>2012</v>
      </c>
      <c r="C2" s="129">
        <v>2013</v>
      </c>
      <c r="D2" s="129">
        <v>2014</v>
      </c>
    </row>
    <row r="3" spans="1:4">
      <c r="A3" s="107" t="s">
        <v>160</v>
      </c>
      <c r="B3" s="106">
        <v>492309.83</v>
      </c>
      <c r="C3" s="106">
        <v>473928.24099999998</v>
      </c>
      <c r="D3" s="106">
        <v>420850.99900000001</v>
      </c>
    </row>
    <row r="4" spans="1:4">
      <c r="A4" s="107" t="s">
        <v>161</v>
      </c>
      <c r="B4" s="106">
        <v>115060.808</v>
      </c>
      <c r="C4" s="106">
        <v>127638.32399999999</v>
      </c>
      <c r="D4" s="106">
        <v>108759.269</v>
      </c>
    </row>
    <row r="5" spans="1:4">
      <c r="A5" s="107" t="s">
        <v>162</v>
      </c>
      <c r="B5" s="106">
        <v>73521.267999999996</v>
      </c>
      <c r="C5" s="106">
        <v>64665.542000000001</v>
      </c>
      <c r="D5" s="106">
        <v>57424.22</v>
      </c>
    </row>
    <row r="6" spans="1:4">
      <c r="A6" s="107" t="s">
        <v>163</v>
      </c>
      <c r="B6" s="106">
        <v>50365.66</v>
      </c>
      <c r="C6" s="106">
        <v>58625.741999999998</v>
      </c>
      <c r="D6" s="106">
        <v>58689.351999999999</v>
      </c>
    </row>
    <row r="7" spans="1:4">
      <c r="A7" s="107" t="s">
        <v>164</v>
      </c>
      <c r="B7" s="106">
        <v>445218.755</v>
      </c>
      <c r="C7" s="106">
        <v>416299.40399999998</v>
      </c>
      <c r="D7" s="106">
        <v>409071.82</v>
      </c>
    </row>
    <row r="8" spans="1:4">
      <c r="A8" s="107" t="s">
        <v>165</v>
      </c>
      <c r="B8" s="106">
        <v>1981.9090000000001</v>
      </c>
      <c r="C8" s="106">
        <v>1014.01</v>
      </c>
      <c r="D8" s="106">
        <v>1365.3219999999999</v>
      </c>
    </row>
    <row r="9" spans="1:4">
      <c r="A9" s="107" t="s">
        <v>166</v>
      </c>
      <c r="B9" s="106">
        <v>2327.703</v>
      </c>
      <c r="C9" s="106">
        <v>2480.2190000000001</v>
      </c>
      <c r="D9" s="106">
        <v>2261.221</v>
      </c>
    </row>
    <row r="10" spans="1:4">
      <c r="A10" s="107" t="s">
        <v>167</v>
      </c>
      <c r="B10" s="106">
        <v>101982.88</v>
      </c>
      <c r="C10" s="106">
        <v>118410.33</v>
      </c>
      <c r="D10" s="106">
        <v>175192.40599999999</v>
      </c>
    </row>
    <row r="11" spans="1:4">
      <c r="A11" s="107" t="s">
        <v>168</v>
      </c>
      <c r="B11" s="106">
        <v>175.821</v>
      </c>
      <c r="C11" s="106">
        <v>76.076999999999998</v>
      </c>
      <c r="D11" s="106">
        <v>0</v>
      </c>
    </row>
    <row r="12" spans="1:4">
      <c r="A12" s="107" t="s">
        <v>169</v>
      </c>
      <c r="B12" s="106">
        <v>44.582999999999998</v>
      </c>
      <c r="C12" s="106">
        <v>0</v>
      </c>
      <c r="D12" s="106">
        <v>0</v>
      </c>
    </row>
    <row r="13" spans="1:4">
      <c r="A13" s="107" t="s">
        <v>170</v>
      </c>
      <c r="B13" s="106">
        <v>0</v>
      </c>
      <c r="C13" s="106">
        <v>0</v>
      </c>
      <c r="D13" s="106">
        <v>879.18799999999999</v>
      </c>
    </row>
    <row r="14" spans="1:4">
      <c r="A14" s="107" t="s">
        <v>171</v>
      </c>
      <c r="B14" s="106">
        <v>0</v>
      </c>
      <c r="C14" s="106">
        <v>0</v>
      </c>
      <c r="D14" s="106">
        <v>4836.47</v>
      </c>
    </row>
    <row r="15" spans="1:4">
      <c r="A15" s="107" t="s">
        <v>172</v>
      </c>
      <c r="B15" s="106">
        <v>61282.866999999998</v>
      </c>
      <c r="C15" s="106">
        <v>98721.606</v>
      </c>
      <c r="D15" s="106">
        <v>124987.495</v>
      </c>
    </row>
    <row r="16" spans="1:4" s="115" customFormat="1">
      <c r="B16" s="116">
        <f t="shared" ref="B16:D16" si="0">SUM(B3:B15)</f>
        <v>1344272.0840000003</v>
      </c>
      <c r="C16" s="116">
        <f t="shared" si="0"/>
        <v>1361859.4950000001</v>
      </c>
      <c r="D16" s="116">
        <f t="shared" si="0"/>
        <v>1364317.7619999996</v>
      </c>
    </row>
    <row r="18" spans="1:12" ht="15">
      <c r="A18" s="173" t="s">
        <v>266</v>
      </c>
      <c r="B18" s="173"/>
      <c r="C18" s="173"/>
      <c r="D18" s="173"/>
      <c r="E18" s="174"/>
      <c r="F18" s="174"/>
      <c r="G18" s="174"/>
      <c r="H18" s="174"/>
      <c r="I18" s="174"/>
      <c r="J18" s="174"/>
      <c r="K18" s="174"/>
      <c r="L18" s="174"/>
    </row>
    <row r="19" spans="1:12">
      <c r="A19" s="109"/>
      <c r="B19" s="109"/>
      <c r="C19" s="109">
        <v>2015</v>
      </c>
      <c r="D19" s="109">
        <v>2016</v>
      </c>
      <c r="E19" s="109">
        <v>2017</v>
      </c>
      <c r="F19" s="109">
        <v>2018</v>
      </c>
      <c r="G19" s="109">
        <v>2019</v>
      </c>
      <c r="H19" s="109">
        <v>2020</v>
      </c>
      <c r="I19" s="109">
        <v>2021</v>
      </c>
      <c r="J19" s="109">
        <v>2022</v>
      </c>
      <c r="K19" s="109">
        <v>2023</v>
      </c>
      <c r="L19" s="109" t="s">
        <v>223</v>
      </c>
    </row>
    <row r="20" spans="1:12" ht="15.75">
      <c r="A20" s="24" t="s">
        <v>224</v>
      </c>
    </row>
    <row r="22" spans="1:12">
      <c r="B22" s="108" t="s">
        <v>225</v>
      </c>
      <c r="C22" s="106">
        <v>1151.269</v>
      </c>
      <c r="D22" s="106">
        <v>1080.3440000000001</v>
      </c>
      <c r="E22" s="106">
        <v>3821.8119999999999</v>
      </c>
      <c r="F22" s="106">
        <v>1103.24</v>
      </c>
      <c r="G22" s="106">
        <v>192.15</v>
      </c>
      <c r="H22" s="106">
        <v>2052.9360000000001</v>
      </c>
      <c r="I22" s="106">
        <v>3646.308</v>
      </c>
      <c r="J22" s="106">
        <v>774.30799999999999</v>
      </c>
      <c r="K22" s="106">
        <v>-1044.3889999999999</v>
      </c>
      <c r="L22" s="134">
        <v>-7888.2489999999998</v>
      </c>
    </row>
    <row r="23" spans="1:12">
      <c r="B23" s="108" t="s">
        <v>164</v>
      </c>
      <c r="C23" s="106">
        <v>454560.44699999999</v>
      </c>
      <c r="D23" s="106">
        <v>529926.06999999995</v>
      </c>
      <c r="E23" s="106">
        <v>574102.51199999999</v>
      </c>
      <c r="F23" s="106">
        <v>580330.73699999996</v>
      </c>
      <c r="G23" s="106">
        <v>688346.07499999995</v>
      </c>
      <c r="H23" s="106">
        <v>637211.66399999999</v>
      </c>
      <c r="I23" s="106">
        <v>689753.59600000002</v>
      </c>
      <c r="J23" s="106">
        <v>497879.26088199997</v>
      </c>
      <c r="K23" s="106">
        <v>518943.85</v>
      </c>
      <c r="L23" s="134">
        <v>426821.64799999999</v>
      </c>
    </row>
    <row r="24" spans="1:12">
      <c r="B24" s="108" t="s">
        <v>160</v>
      </c>
      <c r="C24" s="106">
        <v>377285.489</v>
      </c>
      <c r="D24" s="106">
        <v>346552.03200000001</v>
      </c>
      <c r="E24" s="106">
        <v>324930.95299999998</v>
      </c>
      <c r="F24" s="106">
        <v>295917.67599999998</v>
      </c>
      <c r="G24" s="106">
        <v>271904.56199999998</v>
      </c>
      <c r="H24" s="106">
        <v>248125.07</v>
      </c>
      <c r="I24" s="106">
        <v>240641.94500000001</v>
      </c>
      <c r="J24" s="106">
        <v>213858.43599999999</v>
      </c>
      <c r="K24" s="106">
        <v>181440.28099999999</v>
      </c>
      <c r="L24" s="134">
        <v>114632.402</v>
      </c>
    </row>
    <row r="25" spans="1:12">
      <c r="B25" s="108" t="s">
        <v>226</v>
      </c>
      <c r="C25" s="106">
        <v>50718.722000000002</v>
      </c>
      <c r="D25" s="106">
        <v>51005.091</v>
      </c>
      <c r="E25" s="106">
        <v>46391.699000000001</v>
      </c>
      <c r="F25" s="106">
        <v>38629.665000000001</v>
      </c>
      <c r="G25" s="106">
        <v>31784.919000000002</v>
      </c>
      <c r="H25" s="106">
        <v>19380.594000000001</v>
      </c>
      <c r="I25" s="106">
        <v>17107.736000000001</v>
      </c>
      <c r="J25" s="106">
        <v>12882.108</v>
      </c>
      <c r="K25" s="106">
        <v>9066.9179999999997</v>
      </c>
      <c r="L25" s="134">
        <v>3947.88</v>
      </c>
    </row>
    <row r="26" spans="1:12">
      <c r="B26" s="108" t="s">
        <v>227</v>
      </c>
      <c r="C26" s="106">
        <v>70395.107999999993</v>
      </c>
      <c r="D26" s="106">
        <v>80373.835000000006</v>
      </c>
      <c r="E26" s="106">
        <v>86602.65</v>
      </c>
      <c r="F26" s="106">
        <v>79592.857000000004</v>
      </c>
      <c r="G26" s="106">
        <v>87653.922999999995</v>
      </c>
      <c r="H26" s="106">
        <v>85730.937999999995</v>
      </c>
      <c r="I26" s="106">
        <v>92708.990999999995</v>
      </c>
      <c r="J26" s="106">
        <v>118885.785</v>
      </c>
      <c r="K26" s="106">
        <v>143952.981</v>
      </c>
      <c r="L26" s="134">
        <v>94531.442999999999</v>
      </c>
    </row>
    <row r="27" spans="1:12">
      <c r="B27" s="108" t="s">
        <v>228</v>
      </c>
      <c r="C27" s="106">
        <v>32852.447999999997</v>
      </c>
      <c r="D27" s="106">
        <v>29055.999</v>
      </c>
      <c r="E27" s="106">
        <v>25990.771000000001</v>
      </c>
      <c r="F27" s="106">
        <v>25796.81</v>
      </c>
      <c r="G27" s="106">
        <v>22866.27</v>
      </c>
      <c r="H27" s="106">
        <v>22503.52</v>
      </c>
      <c r="I27" s="106">
        <v>23981.025000000001</v>
      </c>
      <c r="J27" s="106">
        <v>23000.416000000001</v>
      </c>
      <c r="K27" s="106">
        <v>22758.284</v>
      </c>
      <c r="L27" s="134">
        <v>15574.212</v>
      </c>
    </row>
    <row r="28" spans="1:12">
      <c r="B28" s="108" t="s">
        <v>229</v>
      </c>
      <c r="C28" s="106">
        <v>15451.451999999999</v>
      </c>
      <c r="D28" s="106">
        <v>12945.005999999999</v>
      </c>
      <c r="E28" s="106">
        <v>9207.0079999999998</v>
      </c>
      <c r="F28" s="106">
        <v>8486.2330000000002</v>
      </c>
      <c r="G28" s="106">
        <v>6517.3389999999999</v>
      </c>
      <c r="H28" s="106">
        <v>5415.98</v>
      </c>
      <c r="I28" s="106">
        <v>4738.8950000000004</v>
      </c>
      <c r="J28" s="106">
        <v>3002.15</v>
      </c>
      <c r="K28" s="106">
        <v>2424.748</v>
      </c>
      <c r="L28" s="134">
        <v>2916.0419999999999</v>
      </c>
    </row>
    <row r="29" spans="1:12">
      <c r="B29" s="108" t="s">
        <v>230</v>
      </c>
      <c r="C29" s="106">
        <v>66183.423999999999</v>
      </c>
      <c r="D29" s="106">
        <v>14319.023999999999</v>
      </c>
      <c r="E29" s="106">
        <v>1578.1079999999999</v>
      </c>
      <c r="F29" s="106">
        <v>1198.913</v>
      </c>
      <c r="G29" s="106">
        <v>1096.4680000000001</v>
      </c>
      <c r="H29" s="106">
        <v>1179.7439999999999</v>
      </c>
      <c r="I29" s="106">
        <v>1390.2159999999999</v>
      </c>
      <c r="J29" s="106">
        <v>1378.133</v>
      </c>
      <c r="K29" s="106">
        <v>1073.2760000000001</v>
      </c>
      <c r="L29" s="134">
        <v>627.78800000000001</v>
      </c>
    </row>
    <row r="30" spans="1:12">
      <c r="B30" s="108" t="s">
        <v>231</v>
      </c>
      <c r="C30" s="106">
        <v>30819.387999999999</v>
      </c>
      <c r="D30" s="106">
        <v>25295.541000000001</v>
      </c>
      <c r="E30" s="106">
        <v>32437.806</v>
      </c>
      <c r="F30" s="106">
        <v>22560.258000000002</v>
      </c>
      <c r="G30" s="106">
        <v>18945.738000000001</v>
      </c>
      <c r="H30" s="106">
        <v>17051.466</v>
      </c>
      <c r="I30" s="106">
        <v>15707.804</v>
      </c>
      <c r="J30" s="106">
        <v>36767.781000000003</v>
      </c>
      <c r="K30" s="106">
        <v>44974.438999999998</v>
      </c>
      <c r="L30" s="134">
        <v>25329.307000000001</v>
      </c>
    </row>
    <row r="31" spans="1:12">
      <c r="B31" s="108" t="s">
        <v>232</v>
      </c>
      <c r="C31" s="106">
        <f>(723278+1628712+43683284)/1000</f>
        <v>46035.273999999998</v>
      </c>
      <c r="D31" s="106">
        <v>13461.789000000001</v>
      </c>
      <c r="E31" s="106">
        <v>13419.076999999999</v>
      </c>
      <c r="F31" s="106">
        <v>14868.237999999999</v>
      </c>
      <c r="G31" s="106">
        <v>19729.530999999999</v>
      </c>
      <c r="H31" s="106">
        <v>20356.723999999998</v>
      </c>
      <c r="I31" s="106">
        <v>22963.445</v>
      </c>
      <c r="J31" s="106">
        <v>31829.555</v>
      </c>
      <c r="K31" s="106">
        <v>39413.733</v>
      </c>
      <c r="L31" s="134">
        <v>24943.655999999999</v>
      </c>
    </row>
    <row r="32" spans="1:12">
      <c r="B32" s="108" t="s">
        <v>233</v>
      </c>
      <c r="C32" s="106">
        <v>13869.019</v>
      </c>
      <c r="D32" s="106">
        <v>11522.612999999999</v>
      </c>
      <c r="E32" s="106">
        <v>10892.385</v>
      </c>
      <c r="F32" s="106">
        <v>8775.4349999999995</v>
      </c>
      <c r="G32" s="106">
        <v>8361.5069999999996</v>
      </c>
      <c r="H32" s="106">
        <v>9907.8050000000003</v>
      </c>
      <c r="I32" s="106">
        <v>7365.3289999999997</v>
      </c>
      <c r="J32" s="106">
        <v>5316.4340000000002</v>
      </c>
      <c r="K32" s="106">
        <v>5100.6000000000004</v>
      </c>
      <c r="L32" s="134">
        <v>2833.114</v>
      </c>
    </row>
    <row r="33" spans="1:12">
      <c r="B33" s="108" t="s">
        <v>234</v>
      </c>
      <c r="C33" s="106">
        <v>39617.199000000001</v>
      </c>
      <c r="D33" s="106">
        <v>103964.569</v>
      </c>
      <c r="E33" s="106">
        <v>111054.856</v>
      </c>
      <c r="F33" s="106">
        <v>112482.91899999999</v>
      </c>
      <c r="G33" s="106">
        <v>86591.248000000007</v>
      </c>
      <c r="H33" s="106">
        <v>84014.645000000004</v>
      </c>
      <c r="I33" s="106">
        <v>64227.379000000001</v>
      </c>
      <c r="J33" s="106">
        <v>46143.252</v>
      </c>
      <c r="K33" s="106">
        <v>56883.879000000001</v>
      </c>
      <c r="L33" s="134">
        <v>46078.334999999999</v>
      </c>
    </row>
    <row r="34" spans="1:12">
      <c r="B34" s="108" t="s">
        <v>235</v>
      </c>
      <c r="C34" s="106">
        <v>40750.084999999999</v>
      </c>
      <c r="D34" s="106">
        <v>53423.326999999997</v>
      </c>
      <c r="E34" s="106">
        <v>51334.870999999999</v>
      </c>
      <c r="F34" s="106">
        <v>47854.423000000003</v>
      </c>
      <c r="G34" s="106">
        <v>58787.652000000002</v>
      </c>
      <c r="H34" s="106">
        <v>59632.544000000002</v>
      </c>
      <c r="I34" s="106">
        <v>42422.695</v>
      </c>
      <c r="J34" s="106">
        <v>23497.411</v>
      </c>
      <c r="K34" s="106">
        <v>26081.187000000002</v>
      </c>
      <c r="L34" s="134">
        <v>18933.462</v>
      </c>
    </row>
    <row r="35" spans="1:12">
      <c r="B35" s="108" t="s">
        <v>236</v>
      </c>
      <c r="C35" s="106">
        <v>19028.911</v>
      </c>
      <c r="D35" s="106">
        <v>14512.63</v>
      </c>
      <c r="E35" s="106">
        <v>8535.9619999999995</v>
      </c>
      <c r="F35" s="106">
        <v>7152.9769999999999</v>
      </c>
      <c r="G35" s="106">
        <v>7063.3450000000003</v>
      </c>
      <c r="H35" s="106">
        <v>7152.9650000000001</v>
      </c>
      <c r="I35" s="106">
        <v>5571.0829999999996</v>
      </c>
      <c r="J35" s="106">
        <v>6050.1049999999996</v>
      </c>
      <c r="K35" s="106">
        <v>4449.3739999999998</v>
      </c>
      <c r="L35" s="134">
        <v>3532.8380000000002</v>
      </c>
    </row>
    <row r="36" spans="1:12">
      <c r="B36" s="108" t="s">
        <v>237</v>
      </c>
      <c r="C36" s="106">
        <v>22660.839</v>
      </c>
      <c r="D36" s="106">
        <v>21193.098999999998</v>
      </c>
      <c r="E36" s="106">
        <v>20968.773000000001</v>
      </c>
      <c r="F36" s="106">
        <v>21412.248</v>
      </c>
      <c r="G36" s="106">
        <v>19412.809000000001</v>
      </c>
      <c r="H36" s="106">
        <v>11048.196</v>
      </c>
      <c r="I36" s="106">
        <v>7013.4690000000001</v>
      </c>
      <c r="J36" s="106">
        <v>7579.8519999999999</v>
      </c>
      <c r="K36" s="106">
        <v>7258.2939999999999</v>
      </c>
      <c r="L36" s="134">
        <v>4368.7190000000001</v>
      </c>
    </row>
    <row r="37" spans="1:12">
      <c r="B37" s="108" t="s">
        <v>238</v>
      </c>
      <c r="C37" s="106">
        <v>23207.337</v>
      </c>
      <c r="D37" s="106">
        <v>58679.188000000002</v>
      </c>
      <c r="E37" s="106">
        <v>79738.596000000005</v>
      </c>
      <c r="F37" s="106">
        <v>80284.08</v>
      </c>
      <c r="G37" s="106">
        <v>77070.899000000005</v>
      </c>
      <c r="H37" s="106">
        <v>85131.010999999999</v>
      </c>
      <c r="I37" s="106">
        <v>91775.827000000005</v>
      </c>
      <c r="J37" s="106">
        <v>70132.701000000001</v>
      </c>
      <c r="K37" s="106">
        <v>59477.105000000003</v>
      </c>
      <c r="L37" s="134">
        <v>44203.843999999997</v>
      </c>
    </row>
    <row r="38" spans="1:12">
      <c r="B38" s="108" t="s">
        <v>78</v>
      </c>
      <c r="C38" s="106">
        <v>11810.013999999999</v>
      </c>
      <c r="D38" s="106">
        <v>7906.6369999999997</v>
      </c>
      <c r="E38" s="106">
        <v>8692.2240000000002</v>
      </c>
      <c r="F38" s="106">
        <v>15989.216</v>
      </c>
      <c r="G38" s="106">
        <v>26816.766</v>
      </c>
      <c r="H38" s="106">
        <v>18864.938999999998</v>
      </c>
      <c r="I38" s="106">
        <v>13954.853999999999</v>
      </c>
      <c r="J38" s="106">
        <v>29922.063999999998</v>
      </c>
      <c r="K38" s="106">
        <v>37373.171999999999</v>
      </c>
      <c r="L38" s="134">
        <v>29975.227999999999</v>
      </c>
    </row>
    <row r="39" spans="1:12">
      <c r="B39" s="108" t="s">
        <v>239</v>
      </c>
      <c r="C39" s="106">
        <v>71831.857999999993</v>
      </c>
      <c r="D39" s="106">
        <v>38223.519999999997</v>
      </c>
      <c r="E39" s="106">
        <v>13824.317999999999</v>
      </c>
      <c r="F39" s="106">
        <v>12864.172</v>
      </c>
      <c r="G39" s="106">
        <v>5347.7569999999996</v>
      </c>
      <c r="H39" s="106">
        <v>3616.1060000000002</v>
      </c>
      <c r="I39" s="106">
        <v>3494.0070000000001</v>
      </c>
      <c r="J39" s="106">
        <v>3038.1480000000001</v>
      </c>
      <c r="K39" s="106">
        <v>6076.9989999999998</v>
      </c>
      <c r="L39" s="134">
        <v>9895.7790000000005</v>
      </c>
    </row>
    <row r="40" spans="1:12">
      <c r="B40" s="108" t="s">
        <v>77</v>
      </c>
      <c r="C40" s="106">
        <v>0</v>
      </c>
      <c r="D40" s="106">
        <v>0</v>
      </c>
      <c r="E40" s="106">
        <v>0</v>
      </c>
      <c r="F40" s="106">
        <v>0</v>
      </c>
      <c r="G40" s="106">
        <v>0</v>
      </c>
      <c r="H40" s="106">
        <v>0</v>
      </c>
      <c r="I40" s="106">
        <v>0</v>
      </c>
      <c r="J40" s="106">
        <v>0</v>
      </c>
      <c r="K40" s="106">
        <v>15432.409</v>
      </c>
      <c r="L40" s="134">
        <v>19206.260999999999</v>
      </c>
    </row>
    <row r="41" spans="1:12">
      <c r="B41" s="108" t="s">
        <v>240</v>
      </c>
      <c r="C41" s="106"/>
      <c r="D41" s="106"/>
      <c r="E41" s="106"/>
      <c r="F41" s="106"/>
      <c r="G41" s="106"/>
      <c r="H41" s="106"/>
      <c r="I41" s="106"/>
      <c r="J41" s="106">
        <v>221858.82911799999</v>
      </c>
      <c r="K41" s="106">
        <v>318825.74900000001</v>
      </c>
      <c r="L41" s="134">
        <v>202770.44899999999</v>
      </c>
    </row>
    <row r="42" spans="1:12">
      <c r="B42" s="108" t="s">
        <v>241</v>
      </c>
      <c r="C42" s="106">
        <v>-9.0589999999999993</v>
      </c>
      <c r="D42" s="106">
        <v>-0.43099999999999999</v>
      </c>
      <c r="E42" s="106">
        <v>-0.497</v>
      </c>
      <c r="F42" s="106">
        <v>-0.77200000000000002</v>
      </c>
      <c r="G42" s="106">
        <v>-0.115</v>
      </c>
      <c r="H42" s="106">
        <v>-88.363</v>
      </c>
      <c r="I42" s="106">
        <v>-137.452</v>
      </c>
      <c r="J42" s="106">
        <v>-151.864</v>
      </c>
      <c r="K42" s="106">
        <v>-94.114999999999995</v>
      </c>
      <c r="L42" s="134">
        <v>-3.8140000000000001</v>
      </c>
    </row>
    <row r="43" spans="1:12">
      <c r="J43" s="106"/>
    </row>
    <row r="44" spans="1:12">
      <c r="A44" s="131"/>
    </row>
    <row r="45" spans="1:12">
      <c r="A45" s="132"/>
      <c r="B45" s="115"/>
      <c r="C45" s="112">
        <f t="shared" ref="C45:L45" si="1">SUM(C22:C44)</f>
        <v>1388219.2240000002</v>
      </c>
      <c r="D45" s="112">
        <f t="shared" si="1"/>
        <v>1413439.8829999997</v>
      </c>
      <c r="E45" s="112">
        <f t="shared" si="1"/>
        <v>1423523.8840000001</v>
      </c>
      <c r="F45" s="112">
        <f t="shared" si="1"/>
        <v>1375299.3249999997</v>
      </c>
      <c r="G45" s="112">
        <f t="shared" si="1"/>
        <v>1438488.8429999996</v>
      </c>
      <c r="H45" s="112">
        <f t="shared" si="1"/>
        <v>1338288.4839999999</v>
      </c>
      <c r="I45" s="112">
        <f t="shared" si="1"/>
        <v>1348327.1520000002</v>
      </c>
      <c r="J45" s="112">
        <f t="shared" si="1"/>
        <v>1353644.8649999998</v>
      </c>
      <c r="K45" s="112">
        <f t="shared" si="1"/>
        <v>1499868.774</v>
      </c>
      <c r="L45" s="112">
        <f t="shared" si="1"/>
        <v>1083230.3439999998</v>
      </c>
    </row>
    <row r="46" spans="1:12">
      <c r="A46" s="131"/>
      <c r="C46" s="111"/>
      <c r="D46" s="111"/>
      <c r="E46" s="111"/>
      <c r="F46" s="111"/>
      <c r="G46" s="111"/>
      <c r="H46" s="111"/>
      <c r="I46" s="111"/>
      <c r="J46" s="111"/>
      <c r="K46" s="111"/>
      <c r="L46" s="111"/>
    </row>
    <row r="48" spans="1:12" ht="15.75">
      <c r="A48" s="24" t="s">
        <v>269</v>
      </c>
      <c r="B48" s="108"/>
      <c r="C48" s="112">
        <v>71787</v>
      </c>
      <c r="D48" s="112">
        <v>45092.85265501</v>
      </c>
      <c r="E48" s="112">
        <v>35192.554803369996</v>
      </c>
      <c r="F48" s="112">
        <v>90811.218909050003</v>
      </c>
      <c r="G48" s="112">
        <v>87338</v>
      </c>
      <c r="H48" s="112">
        <v>40867.13900000001</v>
      </c>
      <c r="I48" s="112">
        <v>45343.508496910006</v>
      </c>
      <c r="J48" s="112">
        <v>162987.58600000001</v>
      </c>
      <c r="K48" s="112">
        <v>52864.300999999999</v>
      </c>
      <c r="L48" s="112">
        <v>135011.92799999999</v>
      </c>
    </row>
    <row r="49" spans="2:12">
      <c r="B49" s="108"/>
      <c r="H49" s="134"/>
      <c r="I49" s="134"/>
      <c r="J49" s="134"/>
      <c r="K49" s="134"/>
      <c r="L49" s="134"/>
    </row>
    <row r="50" spans="2:12">
      <c r="B50" s="108"/>
      <c r="H50" s="134"/>
      <c r="I50" s="134"/>
      <c r="J50" s="134"/>
      <c r="K50" s="134"/>
      <c r="L50" s="134"/>
    </row>
    <row r="51" spans="2:12">
      <c r="B51" s="108"/>
      <c r="H51" s="134"/>
      <c r="I51" s="134"/>
      <c r="J51" s="134"/>
      <c r="K51" s="134"/>
      <c r="L51" s="134"/>
    </row>
    <row r="52" spans="2:12">
      <c r="B52" s="108"/>
      <c r="H52" s="134"/>
      <c r="I52" s="134"/>
      <c r="J52" s="134"/>
      <c r="K52" s="134"/>
      <c r="L52" s="134"/>
    </row>
    <row r="53" spans="2:12">
      <c r="B53" s="108"/>
      <c r="H53" s="134"/>
      <c r="I53" s="134"/>
      <c r="J53" s="134"/>
      <c r="K53" s="134"/>
      <c r="L53" s="134"/>
    </row>
    <row r="54" spans="2:12">
      <c r="B54" s="108"/>
      <c r="H54" s="106"/>
      <c r="I54" s="106"/>
      <c r="J54" s="134"/>
      <c r="K54" s="134"/>
      <c r="L54" s="134"/>
    </row>
    <row r="55" spans="2:12">
      <c r="B55" s="108"/>
      <c r="C55" s="106"/>
      <c r="D55" s="106"/>
      <c r="E55" s="106"/>
      <c r="F55" s="106"/>
      <c r="G55" s="106"/>
      <c r="H55" s="134"/>
      <c r="I55" s="134"/>
      <c r="J55" s="134"/>
      <c r="K55" s="134"/>
      <c r="L55" s="134"/>
    </row>
    <row r="78" spans="2:4">
      <c r="B78" s="126"/>
      <c r="C78" s="126"/>
      <c r="D78" s="126"/>
    </row>
  </sheetData>
  <mergeCells count="2">
    <mergeCell ref="A1:D1"/>
    <mergeCell ref="A18:L1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Q138"/>
  <sheetViews>
    <sheetView showGridLines="0" topLeftCell="A76" workbookViewId="0">
      <selection activeCell="E52" sqref="E52"/>
    </sheetView>
  </sheetViews>
  <sheetFormatPr baseColWidth="10" defaultColWidth="10.85546875" defaultRowHeight="12.75"/>
  <cols>
    <col min="1" max="1" width="35.28515625" style="107" bestFit="1" customWidth="1"/>
    <col min="2" max="2" width="30.28515625" style="107" customWidth="1"/>
    <col min="3" max="3" width="13.7109375" style="107" bestFit="1" customWidth="1"/>
    <col min="4" max="4" width="12.42578125" style="107" customWidth="1"/>
    <col min="5" max="5" width="13.7109375" style="107" bestFit="1" customWidth="1"/>
    <col min="6" max="7" width="12.42578125" style="107" customWidth="1"/>
    <col min="8" max="8" width="13.7109375" style="107" bestFit="1" customWidth="1"/>
    <col min="9" max="9" width="11.140625" style="107" bestFit="1" customWidth="1"/>
    <col min="10" max="11" width="12.140625" style="107" bestFit="1" customWidth="1"/>
    <col min="12" max="12" width="14.7109375" style="107" bestFit="1" customWidth="1"/>
    <col min="13" max="13" width="10.85546875" style="107"/>
    <col min="14" max="14" width="18" style="107" customWidth="1"/>
    <col min="15" max="15" width="14.7109375" style="107" bestFit="1" customWidth="1"/>
    <col min="16" max="16" width="10.85546875" style="107"/>
    <col min="17" max="17" width="11.5703125" style="107" bestFit="1" customWidth="1"/>
    <col min="18" max="16384" width="10.85546875" style="107"/>
  </cols>
  <sheetData>
    <row r="1" spans="1:14">
      <c r="A1" s="172" t="s">
        <v>267</v>
      </c>
      <c r="B1" s="172"/>
      <c r="C1" s="172"/>
      <c r="D1" s="172"/>
    </row>
    <row r="2" spans="1:14" s="109" customFormat="1" ht="12.6" customHeight="1">
      <c r="A2" s="115" t="s">
        <v>173</v>
      </c>
      <c r="B2" s="115">
        <v>2012</v>
      </c>
      <c r="C2" s="115">
        <v>2013</v>
      </c>
      <c r="D2" s="115">
        <v>2014</v>
      </c>
    </row>
    <row r="3" spans="1:14">
      <c r="A3" s="117" t="s">
        <v>174</v>
      </c>
      <c r="B3" s="118">
        <v>962307.48800000001</v>
      </c>
      <c r="C3" s="118">
        <v>938403.73300000001</v>
      </c>
      <c r="D3" s="118">
        <v>939835.63399999996</v>
      </c>
    </row>
    <row r="4" spans="1:14">
      <c r="A4" s="108" t="s">
        <v>175</v>
      </c>
      <c r="B4" s="110">
        <v>216372.12899999999</v>
      </c>
      <c r="C4" s="110">
        <v>279163.54100000003</v>
      </c>
      <c r="D4" s="110">
        <v>338389.76299999998</v>
      </c>
    </row>
    <row r="5" spans="1:14">
      <c r="M5" s="133"/>
      <c r="N5" s="136"/>
    </row>
    <row r="6" spans="1:14">
      <c r="A6" s="115" t="s">
        <v>176</v>
      </c>
      <c r="M6" s="133"/>
      <c r="N6" s="136"/>
    </row>
    <row r="7" spans="1:14">
      <c r="A7" s="107" t="s">
        <v>177</v>
      </c>
      <c r="B7" s="120">
        <v>289128.64600000001</v>
      </c>
      <c r="C7" s="120">
        <v>287407.86499999999</v>
      </c>
      <c r="D7" s="113">
        <v>288010.337</v>
      </c>
      <c r="M7" s="133"/>
      <c r="N7" s="136"/>
    </row>
    <row r="8" spans="1:14">
      <c r="A8" s="107" t="s">
        <v>178</v>
      </c>
      <c r="B8" s="120">
        <v>36547.269</v>
      </c>
      <c r="C8" s="120">
        <v>33521.184000000001</v>
      </c>
      <c r="D8" s="113">
        <v>30223.857</v>
      </c>
      <c r="M8" s="133"/>
      <c r="N8" s="136"/>
    </row>
    <row r="9" spans="1:14">
      <c r="A9" s="107" t="s">
        <v>179</v>
      </c>
      <c r="B9" s="120">
        <v>70879.486000000004</v>
      </c>
      <c r="C9" s="120">
        <v>66978.107000000004</v>
      </c>
      <c r="D9" s="113">
        <v>54885.777999999998</v>
      </c>
      <c r="M9" s="133"/>
      <c r="N9" s="136"/>
    </row>
    <row r="10" spans="1:14">
      <c r="A10" s="107" t="s">
        <v>180</v>
      </c>
      <c r="B10" s="120">
        <v>90745.1</v>
      </c>
      <c r="C10" s="120">
        <v>76987</v>
      </c>
      <c r="D10" s="113">
        <v>47150.457999999999</v>
      </c>
      <c r="M10" s="133"/>
      <c r="N10" s="136"/>
    </row>
    <row r="11" spans="1:14">
      <c r="A11" s="107" t="s">
        <v>181</v>
      </c>
      <c r="B11" s="120">
        <v>71598.974000000002</v>
      </c>
      <c r="C11" s="120">
        <v>107314.572</v>
      </c>
      <c r="D11" s="113">
        <v>115120.06200000001</v>
      </c>
      <c r="M11" s="133"/>
      <c r="N11" s="136"/>
    </row>
    <row r="12" spans="1:14">
      <c r="A12" s="107" t="s">
        <v>182</v>
      </c>
      <c r="B12" s="120">
        <v>104359.77</v>
      </c>
      <c r="C12" s="120">
        <v>109891.967</v>
      </c>
      <c r="D12" s="113">
        <v>125224.08100000001</v>
      </c>
      <c r="M12" s="133"/>
      <c r="N12" s="136"/>
    </row>
    <row r="13" spans="1:14">
      <c r="A13" s="107" t="s">
        <v>183</v>
      </c>
      <c r="B13" s="120">
        <v>19771.901999999998</v>
      </c>
      <c r="C13" s="120">
        <v>13700.963</v>
      </c>
      <c r="D13" s="113">
        <v>28174.589</v>
      </c>
      <c r="M13" s="133"/>
      <c r="N13" s="136"/>
    </row>
    <row r="14" spans="1:14">
      <c r="A14" s="107" t="s">
        <v>184</v>
      </c>
      <c r="B14" s="120">
        <v>89313.876000000004</v>
      </c>
      <c r="C14" s="120">
        <v>90656.21</v>
      </c>
      <c r="D14" s="113">
        <v>96441.703999999998</v>
      </c>
      <c r="M14" s="133"/>
      <c r="N14" s="136"/>
    </row>
    <row r="15" spans="1:14">
      <c r="A15" s="107" t="s">
        <v>185</v>
      </c>
      <c r="B15" s="120">
        <v>27484.62</v>
      </c>
      <c r="C15" s="120">
        <v>24743.218000000001</v>
      </c>
      <c r="D15" s="113">
        <v>14792.778</v>
      </c>
      <c r="M15" s="133"/>
      <c r="N15" s="136"/>
    </row>
    <row r="16" spans="1:14">
      <c r="A16" s="107" t="s">
        <v>186</v>
      </c>
      <c r="B16" s="120">
        <v>23981.808000000001</v>
      </c>
      <c r="C16" s="120">
        <v>20534.087</v>
      </c>
      <c r="D16" s="113">
        <v>14523.709000000001</v>
      </c>
      <c r="M16" s="133"/>
      <c r="N16" s="136"/>
    </row>
    <row r="17" spans="1:14">
      <c r="A17" s="107" t="s">
        <v>187</v>
      </c>
      <c r="B17" s="120">
        <v>15862.362999999999</v>
      </c>
      <c r="C17" s="120">
        <v>10406.936</v>
      </c>
      <c r="D17" s="113">
        <v>12321.757</v>
      </c>
      <c r="M17" s="133"/>
      <c r="N17" s="136"/>
    </row>
    <row r="18" spans="1:14">
      <c r="A18" s="107" t="s">
        <v>188</v>
      </c>
      <c r="B18" s="120">
        <v>11403.575999999999</v>
      </c>
      <c r="C18" s="120">
        <v>6139.6570000000002</v>
      </c>
      <c r="D18" s="113">
        <v>4844.6000000000004</v>
      </c>
      <c r="M18" s="133"/>
      <c r="N18" s="136"/>
    </row>
    <row r="19" spans="1:14">
      <c r="A19" s="107" t="s">
        <v>189</v>
      </c>
      <c r="B19" s="120">
        <v>25227.019</v>
      </c>
      <c r="C19" s="120">
        <v>10677.041999999999</v>
      </c>
      <c r="D19" s="113">
        <v>20862.788</v>
      </c>
      <c r="M19" s="133"/>
      <c r="N19" s="136"/>
    </row>
    <row r="20" spans="1:14">
      <c r="A20" s="107" t="s">
        <v>190</v>
      </c>
      <c r="B20" s="120">
        <v>28767.239000000001</v>
      </c>
      <c r="C20" s="120">
        <v>28696.968000000001</v>
      </c>
      <c r="D20" s="113">
        <v>27617.718000000001</v>
      </c>
      <c r="M20" s="133"/>
      <c r="N20" s="136"/>
    </row>
    <row r="21" spans="1:14">
      <c r="A21" s="107" t="s">
        <v>191</v>
      </c>
      <c r="B21" s="120">
        <v>9487.6370000000006</v>
      </c>
      <c r="C21" s="120">
        <v>8879.4030000000002</v>
      </c>
      <c r="D21" s="113">
        <v>1603.587</v>
      </c>
      <c r="M21" s="133"/>
      <c r="N21" s="136"/>
    </row>
    <row r="22" spans="1:14">
      <c r="A22" s="107" t="s">
        <v>192</v>
      </c>
      <c r="B22" s="120">
        <v>9150.625</v>
      </c>
      <c r="C22" s="120">
        <v>9938.7450000000008</v>
      </c>
      <c r="D22" s="113">
        <v>8717.9269999999997</v>
      </c>
      <c r="M22" s="133"/>
      <c r="N22" s="136"/>
    </row>
    <row r="23" spans="1:14">
      <c r="A23" s="107" t="s">
        <v>193</v>
      </c>
      <c r="B23" s="120">
        <v>8557.3230000000003</v>
      </c>
      <c r="C23" s="120">
        <v>14716.548000000001</v>
      </c>
      <c r="D23" s="113">
        <v>15751.978999999999</v>
      </c>
      <c r="M23" s="133"/>
      <c r="N23" s="136"/>
    </row>
    <row r="24" spans="1:14">
      <c r="A24" s="107" t="s">
        <v>194</v>
      </c>
      <c r="B24" s="120">
        <v>4542.7259999999997</v>
      </c>
      <c r="C24" s="120">
        <v>2704.942</v>
      </c>
      <c r="D24" s="113">
        <v>1606.251</v>
      </c>
      <c r="M24" s="133"/>
      <c r="N24" s="136"/>
    </row>
    <row r="25" spans="1:14">
      <c r="A25" s="107" t="s">
        <v>195</v>
      </c>
      <c r="B25" s="120">
        <v>11712.295</v>
      </c>
      <c r="C25" s="120">
        <v>4248.57</v>
      </c>
      <c r="D25" s="113">
        <v>1879.2909999999999</v>
      </c>
      <c r="M25" s="133"/>
      <c r="N25" s="136"/>
    </row>
    <row r="26" spans="1:14">
      <c r="A26" s="107" t="s">
        <v>196</v>
      </c>
      <c r="B26" s="120">
        <v>13739.423000000001</v>
      </c>
      <c r="C26" s="120">
        <v>10219.261</v>
      </c>
      <c r="D26" s="113">
        <v>22413.861000000001</v>
      </c>
      <c r="M26" s="133"/>
      <c r="N26" s="136"/>
    </row>
    <row r="27" spans="1:14">
      <c r="A27" s="107" t="s">
        <v>197</v>
      </c>
      <c r="B27" s="120">
        <v>0</v>
      </c>
      <c r="C27" s="120">
        <v>0</v>
      </c>
      <c r="D27" s="128">
        <v>0</v>
      </c>
      <c r="M27" s="133"/>
      <c r="N27" s="136"/>
    </row>
    <row r="28" spans="1:14">
      <c r="A28" s="107" t="s">
        <v>198</v>
      </c>
      <c r="B28" s="120">
        <v>45.811</v>
      </c>
      <c r="C28" s="120">
        <v>40.488</v>
      </c>
      <c r="D28" s="113">
        <v>19.067</v>
      </c>
      <c r="M28" s="133"/>
      <c r="N28" s="136"/>
    </row>
    <row r="29" spans="1:14">
      <c r="A29" s="114" t="s">
        <v>199</v>
      </c>
      <c r="B29" s="120">
        <v>0</v>
      </c>
      <c r="C29" s="120">
        <v>0</v>
      </c>
      <c r="D29" s="113">
        <v>3319.5569999999998</v>
      </c>
      <c r="M29" s="133"/>
      <c r="N29" s="136"/>
    </row>
    <row r="30" spans="1:14">
      <c r="A30" s="114" t="s">
        <v>200</v>
      </c>
      <c r="B30" s="120">
        <v>0</v>
      </c>
      <c r="C30" s="120">
        <v>0</v>
      </c>
      <c r="D30" s="113">
        <v>4329.8980000000001</v>
      </c>
      <c r="M30" s="133"/>
      <c r="N30" s="136"/>
    </row>
    <row r="31" spans="1:14">
      <c r="A31" s="107" t="s">
        <v>201</v>
      </c>
      <c r="B31" s="120">
        <v>0</v>
      </c>
      <c r="C31" s="120">
        <v>0</v>
      </c>
      <c r="D31" s="127">
        <v>0</v>
      </c>
      <c r="M31" s="133"/>
      <c r="N31" s="136"/>
    </row>
    <row r="32" spans="1:14">
      <c r="A32" s="115" t="s">
        <v>202</v>
      </c>
      <c r="B32" s="121">
        <f>SUM(B7:B28)</f>
        <v>962307.48800000001</v>
      </c>
      <c r="C32" s="121">
        <f>SUM(C7:C28)</f>
        <v>938403.73300000001</v>
      </c>
      <c r="D32" s="121">
        <f>SUM(D7:D30)</f>
        <v>939835.63400000043</v>
      </c>
      <c r="M32" s="133"/>
      <c r="N32" s="136"/>
    </row>
    <row r="33" spans="1:14">
      <c r="A33" s="115"/>
      <c r="B33" s="121"/>
      <c r="C33" s="121"/>
      <c r="D33" s="121"/>
      <c r="M33" s="133"/>
      <c r="N33" s="136"/>
    </row>
    <row r="34" spans="1:14">
      <c r="A34" s="115" t="s">
        <v>203</v>
      </c>
      <c r="M34" s="133"/>
      <c r="N34" s="136"/>
    </row>
    <row r="35" spans="1:14">
      <c r="A35" s="122" t="s">
        <v>204</v>
      </c>
      <c r="B35" s="120">
        <v>2759.3240000000001</v>
      </c>
      <c r="C35" s="120">
        <v>9782.2579999999998</v>
      </c>
      <c r="D35" s="125">
        <v>3635.6570000000002</v>
      </c>
      <c r="M35" s="133"/>
      <c r="N35" s="136"/>
    </row>
    <row r="36" spans="1:14">
      <c r="A36" s="122" t="s">
        <v>205</v>
      </c>
      <c r="B36" s="125">
        <v>31332.216</v>
      </c>
      <c r="C36" s="120">
        <v>30966.946</v>
      </c>
      <c r="D36" s="120">
        <v>33534.307000000001</v>
      </c>
      <c r="M36" s="133"/>
      <c r="N36" s="136"/>
    </row>
    <row r="37" spans="1:14">
      <c r="A37" s="122" t="s">
        <v>206</v>
      </c>
      <c r="B37" s="125">
        <v>10429.164000000001</v>
      </c>
      <c r="C37" s="120">
        <v>9463.6280000000006</v>
      </c>
      <c r="D37" s="120">
        <v>8339.277</v>
      </c>
      <c r="M37" s="133"/>
      <c r="N37" s="136"/>
    </row>
    <row r="38" spans="1:14">
      <c r="A38" s="122" t="s">
        <v>207</v>
      </c>
      <c r="B38" s="125">
        <v>16976.681</v>
      </c>
      <c r="C38" s="120">
        <v>9656.6170000000002</v>
      </c>
      <c r="D38" s="120">
        <v>11313.861000000001</v>
      </c>
      <c r="M38" s="133"/>
      <c r="N38" s="136"/>
    </row>
    <row r="39" spans="1:14" ht="25.5">
      <c r="A39" s="122" t="s">
        <v>208</v>
      </c>
      <c r="B39" s="125">
        <v>22768.789000000001</v>
      </c>
      <c r="C39" s="120">
        <v>33280.190999999999</v>
      </c>
      <c r="D39" s="125">
        <v>33314.116999999998</v>
      </c>
      <c r="M39" s="133"/>
      <c r="N39" s="136"/>
    </row>
    <row r="40" spans="1:14">
      <c r="A40" s="122" t="s">
        <v>209</v>
      </c>
      <c r="B40" s="125">
        <v>11185.083000000001</v>
      </c>
      <c r="C40" s="120">
        <v>15709.428</v>
      </c>
      <c r="D40" s="120">
        <v>24804.469000000001</v>
      </c>
      <c r="M40" s="133"/>
      <c r="N40" s="136"/>
    </row>
    <row r="41" spans="1:14">
      <c r="A41" s="122" t="s">
        <v>210</v>
      </c>
      <c r="B41" s="125">
        <v>10701.752</v>
      </c>
      <c r="C41" s="120">
        <v>13816.204</v>
      </c>
      <c r="D41" s="120">
        <v>13357.605</v>
      </c>
      <c r="M41" s="133"/>
      <c r="N41" s="136"/>
    </row>
    <row r="42" spans="1:14">
      <c r="A42" s="122" t="s">
        <v>211</v>
      </c>
      <c r="B42" s="125">
        <v>10166.876</v>
      </c>
      <c r="C42" s="120">
        <v>9238.6309999999994</v>
      </c>
      <c r="D42" s="120">
        <v>8585.4490000000005</v>
      </c>
      <c r="M42" s="133"/>
      <c r="N42" s="136"/>
    </row>
    <row r="43" spans="1:14">
      <c r="A43" s="122" t="s">
        <v>212</v>
      </c>
      <c r="B43" s="125">
        <v>43211.998</v>
      </c>
      <c r="C43" s="120">
        <v>43576.101000000002</v>
      </c>
      <c r="D43" s="120">
        <v>55729.77</v>
      </c>
      <c r="M43" s="133"/>
      <c r="N43" s="136"/>
    </row>
    <row r="44" spans="1:14">
      <c r="A44" s="122" t="s">
        <v>213</v>
      </c>
      <c r="B44" s="125">
        <v>9126.9330000000009</v>
      </c>
      <c r="C44" s="120">
        <v>10646.035</v>
      </c>
      <c r="D44" s="125">
        <v>41364.385000000002</v>
      </c>
      <c r="M44" s="133"/>
      <c r="N44" s="136"/>
    </row>
    <row r="45" spans="1:14" ht="25.5">
      <c r="A45" s="122" t="s">
        <v>214</v>
      </c>
      <c r="B45" s="125">
        <v>10488.748</v>
      </c>
      <c r="C45" s="120">
        <v>20914.848999999998</v>
      </c>
      <c r="D45" s="120">
        <v>24723.366999999998</v>
      </c>
      <c r="M45" s="133"/>
      <c r="N45" s="136"/>
    </row>
    <row r="46" spans="1:14">
      <c r="A46" s="122" t="s">
        <v>215</v>
      </c>
      <c r="B46" s="125">
        <v>7455.45</v>
      </c>
      <c r="C46" s="120">
        <v>6032.9369999999999</v>
      </c>
      <c r="D46" s="120">
        <v>5978.86</v>
      </c>
      <c r="M46" s="133"/>
      <c r="N46" s="136"/>
    </row>
    <row r="47" spans="1:14">
      <c r="A47" s="122" t="s">
        <v>172</v>
      </c>
      <c r="B47" s="125">
        <v>2768.5889999999999</v>
      </c>
      <c r="C47" s="120">
        <v>4402.6530000000002</v>
      </c>
      <c r="D47" s="120">
        <v>4668.0860000000002</v>
      </c>
      <c r="M47" s="133"/>
      <c r="N47" s="136"/>
    </row>
    <row r="48" spans="1:14">
      <c r="A48" s="122" t="s">
        <v>216</v>
      </c>
      <c r="B48" s="125">
        <v>7263.4229999999998</v>
      </c>
      <c r="C48" s="120">
        <v>7810.9070000000002</v>
      </c>
      <c r="D48" s="120">
        <v>7125.2690000000002</v>
      </c>
      <c r="M48" s="133"/>
      <c r="N48" s="136"/>
    </row>
    <row r="49" spans="1:17">
      <c r="A49" s="122" t="s">
        <v>217</v>
      </c>
      <c r="B49" s="120">
        <v>648.54200000000003</v>
      </c>
      <c r="C49" s="120">
        <v>15974.587</v>
      </c>
      <c r="D49" s="120">
        <v>9925.7909999999993</v>
      </c>
      <c r="M49" s="133"/>
      <c r="N49" s="136"/>
    </row>
    <row r="50" spans="1:17">
      <c r="A50" s="122" t="s">
        <v>218</v>
      </c>
      <c r="B50" s="120">
        <v>1027.029</v>
      </c>
      <c r="C50" s="120">
        <v>7352.607</v>
      </c>
      <c r="D50" s="120">
        <v>9641.1849999999995</v>
      </c>
      <c r="M50" s="115"/>
    </row>
    <row r="51" spans="1:17">
      <c r="A51" s="122" t="s">
        <v>118</v>
      </c>
      <c r="B51" s="120">
        <v>798.54499999999996</v>
      </c>
      <c r="C51" s="120">
        <v>1568.421</v>
      </c>
      <c r="D51" s="120">
        <v>9583.0990000000002</v>
      </c>
      <c r="N51" s="115"/>
    </row>
    <row r="52" spans="1:17" s="115" customFormat="1">
      <c r="A52" s="122" t="s">
        <v>119</v>
      </c>
      <c r="B52" s="120">
        <v>2495.2109999999998</v>
      </c>
      <c r="C52" s="120">
        <v>10420.871999999999</v>
      </c>
      <c r="D52" s="120">
        <v>13488.291999999999</v>
      </c>
      <c r="M52" s="107"/>
      <c r="N52" s="107"/>
    </row>
    <row r="53" spans="1:17">
      <c r="A53" s="122" t="s">
        <v>219</v>
      </c>
      <c r="B53" s="120">
        <v>12936.156000000001</v>
      </c>
      <c r="C53" s="120">
        <v>15922.514999999999</v>
      </c>
      <c r="D53" s="120">
        <v>16168.587</v>
      </c>
    </row>
    <row r="54" spans="1:17">
      <c r="A54" s="122" t="s">
        <v>220</v>
      </c>
      <c r="B54" s="120">
        <v>39.774999999999999</v>
      </c>
      <c r="C54" s="120">
        <v>67.778000000000006</v>
      </c>
      <c r="D54" s="120">
        <v>789.10400000000004</v>
      </c>
      <c r="N54" s="133"/>
    </row>
    <row r="55" spans="1:17">
      <c r="A55" s="122" t="s">
        <v>198</v>
      </c>
      <c r="B55" s="120">
        <v>52.704999999999998</v>
      </c>
      <c r="C55" s="120">
        <v>149.59200000000001</v>
      </c>
      <c r="D55" s="120">
        <v>24.591999999999999</v>
      </c>
      <c r="N55" s="133"/>
      <c r="P55" s="135"/>
      <c r="Q55" s="135"/>
    </row>
    <row r="56" spans="1:17">
      <c r="A56" s="122" t="s">
        <v>197</v>
      </c>
      <c r="B56" s="120">
        <v>0</v>
      </c>
      <c r="C56" s="120">
        <v>0</v>
      </c>
      <c r="D56" s="120">
        <v>0</v>
      </c>
      <c r="N56" s="133"/>
      <c r="O56" s="134"/>
      <c r="P56" s="135"/>
      <c r="Q56" s="135"/>
    </row>
    <row r="57" spans="1:17">
      <c r="A57" s="122" t="s">
        <v>221</v>
      </c>
      <c r="B57" s="120">
        <v>1739.1389999999999</v>
      </c>
      <c r="C57" s="120">
        <v>2409.7840000000001</v>
      </c>
      <c r="D57" s="120">
        <v>2294.634</v>
      </c>
      <c r="N57" s="133"/>
      <c r="O57" s="134"/>
      <c r="P57" s="135"/>
      <c r="Q57" s="135"/>
    </row>
    <row r="58" spans="1:17">
      <c r="A58" s="123" t="s">
        <v>222</v>
      </c>
      <c r="B58" s="124">
        <f>SUM(B35:B57)</f>
        <v>216372.128</v>
      </c>
      <c r="C58" s="121">
        <f>SUM(C35:C57)</f>
        <v>279163.54099999997</v>
      </c>
      <c r="D58" s="121">
        <f>SUM(D35:D57)</f>
        <v>338389.76300000009</v>
      </c>
      <c r="N58" s="133"/>
      <c r="O58" s="135"/>
      <c r="P58" s="135"/>
      <c r="Q58" s="135"/>
    </row>
    <row r="59" spans="1:17">
      <c r="B59" s="126">
        <f>+B58+B32</f>
        <v>1178679.6159999999</v>
      </c>
      <c r="C59" s="126">
        <f t="shared" ref="C59" si="0">+C58+C32</f>
        <v>1217567.274</v>
      </c>
      <c r="D59" s="126">
        <f>+D58+D32</f>
        <v>1278225.3970000006</v>
      </c>
      <c r="N59" s="133"/>
      <c r="O59" s="135"/>
      <c r="P59" s="135"/>
      <c r="Q59" s="135"/>
    </row>
    <row r="60" spans="1:17">
      <c r="N60" s="133"/>
      <c r="O60" s="135"/>
      <c r="P60" s="135"/>
      <c r="Q60" s="135"/>
    </row>
    <row r="61" spans="1:17">
      <c r="P61" s="135"/>
      <c r="Q61" s="135"/>
    </row>
    <row r="64" spans="1:17" ht="15">
      <c r="A64" s="173" t="s">
        <v>268</v>
      </c>
      <c r="B64" s="173"/>
      <c r="C64" s="173"/>
      <c r="D64" s="173"/>
      <c r="E64" s="174"/>
      <c r="F64" s="174"/>
      <c r="G64" s="174"/>
      <c r="H64" s="174"/>
      <c r="I64" s="174"/>
      <c r="J64" s="174"/>
      <c r="K64" s="174"/>
      <c r="L64" s="174"/>
    </row>
    <row r="65" spans="1:14">
      <c r="C65" s="109">
        <v>2015</v>
      </c>
      <c r="D65" s="109">
        <v>2016</v>
      </c>
      <c r="E65" s="109">
        <v>2017</v>
      </c>
      <c r="F65" s="109">
        <v>2018</v>
      </c>
      <c r="G65" s="109">
        <v>2019</v>
      </c>
      <c r="H65" s="109">
        <v>2020</v>
      </c>
      <c r="I65" s="109">
        <v>2021</v>
      </c>
      <c r="J65" s="109">
        <v>2022</v>
      </c>
      <c r="K65" s="109">
        <v>2023</v>
      </c>
      <c r="L65" s="109" t="s">
        <v>223</v>
      </c>
      <c r="M65" s="109"/>
      <c r="N65" s="109"/>
    </row>
    <row r="66" spans="1:14" ht="15.75">
      <c r="A66" s="24" t="s">
        <v>243</v>
      </c>
      <c r="B66" s="108" t="s">
        <v>123</v>
      </c>
      <c r="C66" s="110">
        <v>203000.07</v>
      </c>
      <c r="D66" s="110">
        <f>206629+4918</f>
        <v>211547</v>
      </c>
      <c r="E66" s="110">
        <v>221619.35321355</v>
      </c>
      <c r="F66" s="110">
        <v>221396.41899999999</v>
      </c>
      <c r="G66" s="110">
        <v>253805.68</v>
      </c>
      <c r="H66" s="110">
        <v>236114.10699999999</v>
      </c>
      <c r="I66" s="110">
        <v>257588.133</v>
      </c>
      <c r="J66" s="110">
        <v>263331.39199999999</v>
      </c>
      <c r="K66" s="110">
        <v>299477.25</v>
      </c>
      <c r="L66" s="138">
        <v>210207</v>
      </c>
    </row>
    <row r="67" spans="1:14">
      <c r="B67" s="108" t="s">
        <v>244</v>
      </c>
      <c r="C67" s="110">
        <v>194918.035</v>
      </c>
      <c r="D67" s="110">
        <v>146038.98446822999</v>
      </c>
      <c r="E67" s="110">
        <v>127940.23433056001</v>
      </c>
      <c r="F67" s="110">
        <v>127743.96799999999</v>
      </c>
      <c r="G67" s="110">
        <v>183612.51300000001</v>
      </c>
      <c r="H67" s="110">
        <v>143917.399</v>
      </c>
      <c r="I67" s="110">
        <v>147315.584</v>
      </c>
      <c r="J67" s="110">
        <v>91399.296000000002</v>
      </c>
      <c r="K67" s="110">
        <v>93274.02</v>
      </c>
      <c r="L67" s="138">
        <v>90852.180999999997</v>
      </c>
    </row>
    <row r="68" spans="1:14">
      <c r="B68" s="108" t="s">
        <v>245</v>
      </c>
      <c r="C68" s="110">
        <v>114839</v>
      </c>
      <c r="D68" s="110">
        <v>106671.35744798002</v>
      </c>
      <c r="E68" s="110">
        <v>94003.782686119986</v>
      </c>
      <c r="F68" s="110">
        <v>108289.243</v>
      </c>
      <c r="G68" s="110">
        <v>94235.445000000007</v>
      </c>
      <c r="H68" s="110">
        <v>81573.182000000001</v>
      </c>
      <c r="I68" s="110">
        <v>88537.736999999994</v>
      </c>
      <c r="J68" s="110">
        <v>59268.519</v>
      </c>
      <c r="K68" s="110">
        <v>67787.339000000007</v>
      </c>
      <c r="L68" s="138">
        <v>46002</v>
      </c>
    </row>
    <row r="69" spans="1:14">
      <c r="B69" s="108" t="s">
        <v>242</v>
      </c>
      <c r="C69" s="110">
        <v>0</v>
      </c>
      <c r="D69" s="110">
        <v>0</v>
      </c>
      <c r="E69" s="110">
        <v>0</v>
      </c>
      <c r="F69" s="110">
        <v>0</v>
      </c>
      <c r="G69" s="110">
        <v>0</v>
      </c>
      <c r="H69" s="110">
        <v>0</v>
      </c>
      <c r="I69" s="110">
        <v>0</v>
      </c>
      <c r="J69" s="110">
        <v>36389.696339819995</v>
      </c>
      <c r="K69" s="110">
        <v>62242.656999999999</v>
      </c>
      <c r="L69" s="138">
        <v>59872</v>
      </c>
    </row>
    <row r="70" spans="1:14">
      <c r="B70" s="108" t="s">
        <v>219</v>
      </c>
      <c r="C70" s="110">
        <v>122508.727</v>
      </c>
      <c r="D70" s="110">
        <v>98244.143340349998</v>
      </c>
      <c r="E70" s="110">
        <v>77530.736127759999</v>
      </c>
      <c r="F70" s="110">
        <v>81299.819000000003</v>
      </c>
      <c r="G70" s="110">
        <v>66069.448999999993</v>
      </c>
      <c r="H70" s="110">
        <v>76500.020999999993</v>
      </c>
      <c r="I70" s="110">
        <v>64361.898000000001</v>
      </c>
      <c r="J70" s="110">
        <v>55876.17</v>
      </c>
      <c r="K70" s="110">
        <v>57263.642999999996</v>
      </c>
      <c r="L70" s="138">
        <v>49489</v>
      </c>
    </row>
    <row r="71" spans="1:14">
      <c r="B71" s="108" t="s">
        <v>109</v>
      </c>
      <c r="C71" s="110">
        <v>88714.566000000006</v>
      </c>
      <c r="D71" s="110">
        <v>91728.505975310007</v>
      </c>
      <c r="E71" s="110">
        <v>73798.429248760003</v>
      </c>
      <c r="F71" s="110">
        <v>73767.369000000006</v>
      </c>
      <c r="G71" s="110">
        <v>100509.393</v>
      </c>
      <c r="H71" s="110">
        <v>110322.31299999999</v>
      </c>
      <c r="I71" s="110">
        <v>112381.5</v>
      </c>
      <c r="J71" s="110">
        <v>76097.828999999998</v>
      </c>
      <c r="K71" s="110">
        <v>74547.089000000007</v>
      </c>
      <c r="L71" s="138">
        <v>33980.370999999999</v>
      </c>
    </row>
    <row r="72" spans="1:14">
      <c r="B72" s="108" t="s">
        <v>235</v>
      </c>
      <c r="C72" s="110">
        <v>47671.839</v>
      </c>
      <c r="D72" s="110">
        <v>79433.173541010008</v>
      </c>
      <c r="E72" s="110">
        <v>72413.568090440007</v>
      </c>
      <c r="F72" s="110">
        <v>55039.173000000003</v>
      </c>
      <c r="G72" s="110">
        <v>52653.563000000002</v>
      </c>
      <c r="H72" s="110">
        <v>40754.633999999998</v>
      </c>
      <c r="I72" s="110">
        <v>26886.06</v>
      </c>
      <c r="J72" s="110">
        <v>43578.987999999998</v>
      </c>
      <c r="K72" s="110">
        <v>44874.084000000003</v>
      </c>
      <c r="L72" s="138">
        <v>23421</v>
      </c>
    </row>
    <row r="73" spans="1:14">
      <c r="B73" s="108" t="s">
        <v>246</v>
      </c>
      <c r="C73" s="110">
        <v>35425.631999999998</v>
      </c>
      <c r="D73" s="110">
        <v>61787.676101659999</v>
      </c>
      <c r="E73" s="110">
        <v>49908.408372400001</v>
      </c>
      <c r="F73" s="110">
        <v>50274.186000000002</v>
      </c>
      <c r="G73" s="110">
        <v>53581.881999999998</v>
      </c>
      <c r="H73" s="110">
        <v>64484.813999999998</v>
      </c>
      <c r="I73" s="110">
        <v>59988.470999999998</v>
      </c>
      <c r="J73" s="110">
        <v>52109.724000000002</v>
      </c>
      <c r="K73" s="110">
        <v>50382.466</v>
      </c>
      <c r="L73" s="138">
        <v>38328</v>
      </c>
    </row>
    <row r="74" spans="1:14">
      <c r="B74" s="108" t="s">
        <v>247</v>
      </c>
      <c r="C74" s="110">
        <v>37759.370000000003</v>
      </c>
      <c r="D74" s="110">
        <v>42671.594118889989</v>
      </c>
      <c r="E74" s="110">
        <v>42821.210506670002</v>
      </c>
      <c r="F74" s="110">
        <v>42115.417999999998</v>
      </c>
      <c r="G74" s="110">
        <v>46462.404000000002</v>
      </c>
      <c r="H74" s="110">
        <v>38463.508999999998</v>
      </c>
      <c r="I74" s="110">
        <v>37898.917000000001</v>
      </c>
      <c r="J74" s="110">
        <v>39297.618999999999</v>
      </c>
      <c r="K74" s="110">
        <v>43461.601999999999</v>
      </c>
      <c r="L74" s="138">
        <v>32148</v>
      </c>
    </row>
    <row r="75" spans="1:14">
      <c r="B75" s="108" t="s">
        <v>248</v>
      </c>
      <c r="C75" s="110">
        <v>45494.881000000001</v>
      </c>
      <c r="D75" s="110">
        <v>38675.734712569989</v>
      </c>
      <c r="E75" s="110">
        <v>20469.597887829997</v>
      </c>
      <c r="F75" s="110">
        <v>20672.28</v>
      </c>
      <c r="G75" s="110">
        <v>15937.541999999999</v>
      </c>
      <c r="H75" s="110">
        <v>19422.665000000001</v>
      </c>
      <c r="I75" s="110">
        <v>26647.498</v>
      </c>
      <c r="J75" s="110">
        <v>24263.904999999999</v>
      </c>
      <c r="K75" s="110">
        <v>28545.121999999999</v>
      </c>
      <c r="L75" s="138">
        <v>16191</v>
      </c>
    </row>
    <row r="76" spans="1:14">
      <c r="B76" s="108" t="s">
        <v>217</v>
      </c>
      <c r="C76" s="110">
        <v>34367.576999999997</v>
      </c>
      <c r="D76" s="110">
        <v>34260.801172029998</v>
      </c>
      <c r="E76" s="110">
        <v>35329.307285679999</v>
      </c>
      <c r="F76" s="110">
        <v>35185.142999999996</v>
      </c>
      <c r="G76" s="110">
        <v>35130.535000000003</v>
      </c>
      <c r="H76" s="110">
        <v>35535.141000000003</v>
      </c>
      <c r="I76" s="110">
        <v>36883.752</v>
      </c>
      <c r="J76" s="110">
        <v>48093.945</v>
      </c>
      <c r="K76" s="110">
        <v>48390.072</v>
      </c>
      <c r="L76" s="138">
        <v>45933</v>
      </c>
    </row>
    <row r="77" spans="1:14">
      <c r="B77" s="108" t="s">
        <v>199</v>
      </c>
      <c r="C77" s="110">
        <v>24233.813999999998</v>
      </c>
      <c r="D77" s="110">
        <v>28088.82092124</v>
      </c>
      <c r="E77" s="110">
        <v>10343.57479042</v>
      </c>
      <c r="F77" s="110">
        <v>3424.3589999999999</v>
      </c>
      <c r="G77" s="110">
        <v>991.05</v>
      </c>
      <c r="H77" s="110">
        <v>758.23</v>
      </c>
      <c r="I77" s="110">
        <v>459.91500000000002</v>
      </c>
      <c r="J77" s="110">
        <v>517.58399999999995</v>
      </c>
      <c r="K77" s="110">
        <v>1852.5920000000001</v>
      </c>
      <c r="L77" s="138">
        <v>6513</v>
      </c>
    </row>
    <row r="78" spans="1:14">
      <c r="B78" s="108" t="s">
        <v>207</v>
      </c>
      <c r="C78" s="110">
        <v>26664.204000000002</v>
      </c>
      <c r="D78" s="110">
        <v>24142.584733030006</v>
      </c>
      <c r="E78" s="110">
        <v>32446.958500770001</v>
      </c>
      <c r="F78" s="110">
        <v>27404.258999999998</v>
      </c>
      <c r="G78" s="110">
        <v>30230.968000000001</v>
      </c>
      <c r="H78" s="110">
        <v>30232.666000000001</v>
      </c>
      <c r="I78" s="110">
        <v>32171.438999999998</v>
      </c>
      <c r="J78" s="110">
        <v>33729.347999999998</v>
      </c>
      <c r="K78" s="110">
        <v>32132.196</v>
      </c>
      <c r="L78" s="138">
        <v>24393.913</v>
      </c>
    </row>
    <row r="79" spans="1:14">
      <c r="B79" s="108" t="s">
        <v>249</v>
      </c>
      <c r="C79" s="110">
        <v>19496.567999999999</v>
      </c>
      <c r="D79" s="110">
        <v>19498.979758009998</v>
      </c>
      <c r="E79" s="110">
        <v>20618.843693069997</v>
      </c>
      <c r="F79" s="110">
        <v>23937.558000000001</v>
      </c>
      <c r="G79" s="110">
        <v>10099.365</v>
      </c>
      <c r="H79" s="110">
        <v>10375.521000000001</v>
      </c>
      <c r="I79" s="110">
        <v>13777.08</v>
      </c>
      <c r="J79" s="110">
        <v>8505.2180000000008</v>
      </c>
      <c r="K79" s="110">
        <v>5587.3860000000004</v>
      </c>
      <c r="L79" s="138">
        <v>4453</v>
      </c>
    </row>
    <row r="80" spans="1:14">
      <c r="B80" s="108" t="s">
        <v>119</v>
      </c>
      <c r="C80" s="110">
        <v>14505.718999999999</v>
      </c>
      <c r="D80" s="110">
        <v>12907.576547999999</v>
      </c>
      <c r="E80" s="110">
        <v>11757.365289000001</v>
      </c>
      <c r="F80" s="110">
        <v>12413.759</v>
      </c>
      <c r="G80" s="110">
        <v>12393.353999999999</v>
      </c>
      <c r="H80" s="110">
        <v>13030.328</v>
      </c>
      <c r="I80" s="110">
        <v>13708.12</v>
      </c>
      <c r="J80" s="110">
        <v>14427.74</v>
      </c>
      <c r="K80" s="110">
        <v>17337.214</v>
      </c>
      <c r="L80" s="138">
        <v>15159</v>
      </c>
    </row>
    <row r="81" spans="1:12">
      <c r="B81" s="108" t="s">
        <v>118</v>
      </c>
      <c r="C81" s="110">
        <v>14129.913</v>
      </c>
      <c r="D81" s="110">
        <v>15498.91736295</v>
      </c>
      <c r="E81" s="110">
        <v>15102.525719110001</v>
      </c>
      <c r="F81" s="110">
        <v>12424.09</v>
      </c>
      <c r="G81" s="110">
        <v>10970.441999999999</v>
      </c>
      <c r="H81" s="110">
        <v>12751.34</v>
      </c>
      <c r="I81" s="110">
        <v>14757.632</v>
      </c>
      <c r="J81" s="110">
        <v>15793.816999999999</v>
      </c>
      <c r="K81" s="110">
        <v>17015.57</v>
      </c>
      <c r="L81" s="138">
        <v>14575</v>
      </c>
    </row>
    <row r="82" spans="1:12">
      <c r="B82" s="108" t="s">
        <v>250</v>
      </c>
      <c r="C82" s="110">
        <v>8864.5429999999997</v>
      </c>
      <c r="D82" s="110">
        <v>8571.5880963599993</v>
      </c>
      <c r="E82" s="110">
        <v>7807.0793029300003</v>
      </c>
      <c r="F82" s="110">
        <v>7419.1270000000004</v>
      </c>
      <c r="G82" s="110">
        <v>5036.2299999999996</v>
      </c>
      <c r="H82" s="110">
        <v>2605.6309999999999</v>
      </c>
      <c r="I82" s="110">
        <v>2317.6779999999999</v>
      </c>
      <c r="J82" s="110">
        <v>1949.3720000000001</v>
      </c>
      <c r="K82" s="110">
        <v>2003.6890000000001</v>
      </c>
      <c r="L82" s="138">
        <v>1338</v>
      </c>
    </row>
    <row r="83" spans="1:12">
      <c r="B83" s="108" t="s">
        <v>251</v>
      </c>
      <c r="C83" s="110">
        <v>0</v>
      </c>
      <c r="D83" s="110">
        <v>0</v>
      </c>
      <c r="E83" s="110">
        <v>0</v>
      </c>
      <c r="F83" s="110">
        <v>0</v>
      </c>
      <c r="G83" s="110">
        <v>0</v>
      </c>
      <c r="H83" s="110">
        <v>0</v>
      </c>
      <c r="I83" s="110">
        <v>0</v>
      </c>
      <c r="J83" s="110">
        <v>15625.967000000001</v>
      </c>
      <c r="K83" s="110">
        <v>19351.792000000001</v>
      </c>
      <c r="L83" s="138">
        <v>15811.887000000001</v>
      </c>
    </row>
    <row r="84" spans="1:12">
      <c r="B84" s="108" t="s">
        <v>252</v>
      </c>
      <c r="C84" s="110">
        <v>4997.277</v>
      </c>
      <c r="D84" s="110">
        <v>3421.4793117899999</v>
      </c>
      <c r="E84" s="110">
        <v>1002.62746151</v>
      </c>
      <c r="F84" s="110">
        <v>761.06299999999999</v>
      </c>
      <c r="G84" s="110">
        <v>449.96199999999999</v>
      </c>
      <c r="H84" s="110">
        <v>15.5</v>
      </c>
      <c r="I84" s="110">
        <v>0</v>
      </c>
      <c r="J84" s="110">
        <v>10.25</v>
      </c>
      <c r="K84" s="110">
        <v>0</v>
      </c>
      <c r="L84" s="138">
        <v>0</v>
      </c>
    </row>
    <row r="85" spans="1:12">
      <c r="B85" s="108" t="s">
        <v>253</v>
      </c>
      <c r="C85" s="110">
        <v>19889</v>
      </c>
      <c r="D85" s="110">
        <v>10555.592096720082</v>
      </c>
      <c r="E85" s="110">
        <v>13487.12049341981</v>
      </c>
      <c r="F85" s="110">
        <v>13833.204</v>
      </c>
      <c r="G85" s="110">
        <v>23492.800999999999</v>
      </c>
      <c r="H85" s="110">
        <v>20526.120999999999</v>
      </c>
      <c r="I85" s="110">
        <v>28366.115000000002</v>
      </c>
      <c r="J85" s="110">
        <v>11693.236999999999</v>
      </c>
      <c r="K85" s="110">
        <v>14211.067999999999</v>
      </c>
      <c r="L85" s="138">
        <v>8887.8390000002692</v>
      </c>
    </row>
    <row r="86" spans="1:12">
      <c r="B86" s="108" t="s">
        <v>254</v>
      </c>
      <c r="C86" s="110">
        <v>0</v>
      </c>
      <c r="D86" s="110">
        <v>0</v>
      </c>
      <c r="E86" s="110">
        <v>0</v>
      </c>
      <c r="F86" s="110">
        <v>0</v>
      </c>
      <c r="G86" s="110">
        <v>0</v>
      </c>
      <c r="H86" s="110">
        <v>0</v>
      </c>
      <c r="I86" s="110">
        <v>0</v>
      </c>
      <c r="J86" s="110">
        <v>127586.78166018</v>
      </c>
      <c r="K86" s="110">
        <v>214480.44099999999</v>
      </c>
      <c r="L86" s="138">
        <v>151373</v>
      </c>
    </row>
    <row r="87" spans="1:12">
      <c r="B87" s="108" t="s">
        <v>255</v>
      </c>
      <c r="C87" s="110">
        <v>0</v>
      </c>
      <c r="D87" s="110">
        <v>0</v>
      </c>
      <c r="E87" s="110">
        <v>0</v>
      </c>
      <c r="F87" s="110">
        <v>0</v>
      </c>
      <c r="G87" s="110">
        <v>0</v>
      </c>
      <c r="H87" s="110">
        <v>0</v>
      </c>
      <c r="I87" s="110">
        <v>0</v>
      </c>
      <c r="J87" s="110">
        <v>7384.2479999999996</v>
      </c>
      <c r="K87" s="110">
        <v>4560.9939999999997</v>
      </c>
      <c r="L87" s="138">
        <v>2727.5160000000001</v>
      </c>
    </row>
    <row r="88" spans="1:12">
      <c r="B88" s="108" t="s">
        <v>256</v>
      </c>
      <c r="C88" s="110"/>
      <c r="D88" s="110">
        <v>0</v>
      </c>
      <c r="E88" s="110">
        <v>0</v>
      </c>
      <c r="F88" s="110">
        <v>0</v>
      </c>
      <c r="G88" s="110">
        <v>-1792.6379999999999</v>
      </c>
      <c r="H88" s="110">
        <v>-2075.9369999999999</v>
      </c>
      <c r="I88" s="110">
        <v>-1331.433</v>
      </c>
      <c r="J88" s="110">
        <v>-2549.2130000000002</v>
      </c>
      <c r="K88" s="110">
        <v>-351.66</v>
      </c>
      <c r="L88" s="138">
        <v>-696.80899999999997</v>
      </c>
    </row>
    <row r="89" spans="1:12">
      <c r="C89" s="112">
        <f t="shared" ref="C89:L89" si="1">SUM(C66:C88)</f>
        <v>1057480.7349999999</v>
      </c>
      <c r="D89" s="112">
        <f t="shared" si="1"/>
        <v>1033744.5097061303</v>
      </c>
      <c r="E89" s="112">
        <f t="shared" si="1"/>
        <v>928400.723</v>
      </c>
      <c r="F89" s="112">
        <f t="shared" si="1"/>
        <v>917400.4369999998</v>
      </c>
      <c r="G89" s="112">
        <f t="shared" si="1"/>
        <v>993869.94000000018</v>
      </c>
      <c r="H89" s="112">
        <f t="shared" si="1"/>
        <v>935307.18499999982</v>
      </c>
      <c r="I89" s="112">
        <f t="shared" si="1"/>
        <v>962716.09600000014</v>
      </c>
      <c r="J89" s="112">
        <f t="shared" si="1"/>
        <v>1024381.4329999998</v>
      </c>
      <c r="K89" s="112">
        <f t="shared" si="1"/>
        <v>1198426.6260000002</v>
      </c>
      <c r="L89" s="112">
        <f t="shared" si="1"/>
        <v>890958.89800000004</v>
      </c>
    </row>
    <row r="91" spans="1:12">
      <c r="L91" s="137"/>
    </row>
    <row r="92" spans="1:12">
      <c r="A92" s="109"/>
      <c r="L92" s="111"/>
    </row>
    <row r="93" spans="1:12">
      <c r="A93" s="109"/>
    </row>
    <row r="94" spans="1:12">
      <c r="A94" s="109"/>
    </row>
    <row r="95" spans="1:12">
      <c r="A95" s="109"/>
    </row>
    <row r="96" spans="1:12">
      <c r="A96" s="109"/>
    </row>
    <row r="97" spans="1:14">
      <c r="A97" s="109"/>
      <c r="M97" s="109"/>
    </row>
    <row r="98" spans="1:14" s="109" customFormat="1">
      <c r="A98" s="107"/>
      <c r="M98" s="107"/>
      <c r="N98" s="107"/>
    </row>
    <row r="102" spans="1:14" s="119" customFormat="1"/>
    <row r="111" spans="1:14">
      <c r="E111" s="126"/>
    </row>
    <row r="138" ht="15" customHeight="1"/>
  </sheetData>
  <mergeCells count="2">
    <mergeCell ref="A1:D1"/>
    <mergeCell ref="A64:L6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activeCell="H1" sqref="H1"/>
    </sheetView>
  </sheetViews>
  <sheetFormatPr baseColWidth="10" defaultColWidth="30.140625" defaultRowHeight="15"/>
  <cols>
    <col min="1" max="1" width="30" bestFit="1" customWidth="1"/>
    <col min="2" max="2" width="9.28515625" bestFit="1" customWidth="1"/>
    <col min="3" max="3" width="8.28515625" bestFit="1" customWidth="1"/>
    <col min="4" max="4" width="9.140625" bestFit="1" customWidth="1"/>
    <col min="5" max="5" width="8.5703125" bestFit="1" customWidth="1"/>
    <col min="6" max="9" width="8.28515625" bestFit="1" customWidth="1"/>
  </cols>
  <sheetData>
    <row r="1" spans="1:9" s="59" customFormat="1">
      <c r="A1" s="57"/>
      <c r="B1" s="58">
        <v>2015</v>
      </c>
      <c r="C1" s="58">
        <v>2016</v>
      </c>
      <c r="D1" s="58">
        <v>2017</v>
      </c>
      <c r="E1" s="58">
        <v>2018</v>
      </c>
      <c r="F1" s="58">
        <v>2019</v>
      </c>
      <c r="G1" s="58">
        <v>2020</v>
      </c>
      <c r="H1" s="58">
        <v>2021</v>
      </c>
      <c r="I1" s="58">
        <v>2022</v>
      </c>
    </row>
    <row r="2" spans="1:9">
      <c r="A2" s="52"/>
      <c r="B2" s="52"/>
      <c r="C2" s="52"/>
      <c r="D2" s="52"/>
      <c r="E2" s="52"/>
      <c r="F2" s="52"/>
      <c r="G2" s="52"/>
      <c r="H2" s="52"/>
      <c r="I2" s="52"/>
    </row>
    <row r="3" spans="1:9">
      <c r="A3" s="53" t="s">
        <v>257</v>
      </c>
      <c r="B3" s="54">
        <f>SUM(B4:B11)</f>
        <v>-230950.04340739996</v>
      </c>
      <c r="C3" s="54">
        <f t="shared" ref="C3:I3" si="0">SUM(C4:C11)</f>
        <v>-98506.503095680004</v>
      </c>
      <c r="D3" s="54">
        <f t="shared" si="0"/>
        <v>-151935.17206588</v>
      </c>
      <c r="E3" s="54">
        <f t="shared" si="0"/>
        <v>96009.775429030022</v>
      </c>
      <c r="F3" s="54">
        <f t="shared" si="0"/>
        <v>-31862.412290950007</v>
      </c>
      <c r="G3" s="54">
        <f t="shared" si="0"/>
        <v>-44092.14575636002</v>
      </c>
      <c r="H3" s="54">
        <f t="shared" si="0"/>
        <v>60279.74082206998</v>
      </c>
      <c r="I3" s="54">
        <f t="shared" si="0"/>
        <v>-25281.169546500001</v>
      </c>
    </row>
    <row r="4" spans="1:9">
      <c r="A4" t="s">
        <v>258</v>
      </c>
      <c r="B4" s="55">
        <v>-156466.53979168</v>
      </c>
      <c r="C4" s="55">
        <v>-34135.869361739999</v>
      </c>
      <c r="D4" s="55">
        <v>-58235.533844269994</v>
      </c>
      <c r="E4" s="55">
        <v>132962.99921565002</v>
      </c>
      <c r="F4" s="55">
        <v>-589.8131751499991</v>
      </c>
      <c r="G4" s="55">
        <v>-11862.666510260024</v>
      </c>
      <c r="H4" s="55">
        <v>71389.026714169988</v>
      </c>
      <c r="I4" s="55">
        <v>-1690.7601294999995</v>
      </c>
    </row>
    <row r="5" spans="1:9">
      <c r="A5" t="s">
        <v>259</v>
      </c>
      <c r="B5" s="55">
        <v>-53629.815917929998</v>
      </c>
      <c r="C5" s="55">
        <v>-63656.044414250006</v>
      </c>
      <c r="D5" s="55">
        <v>-88389.032265900008</v>
      </c>
      <c r="E5" s="55">
        <v>-27624.523631120006</v>
      </c>
      <c r="F5" s="55">
        <v>-27752.725958400006</v>
      </c>
      <c r="G5" s="55">
        <v>-24421.634361020002</v>
      </c>
      <c r="H5" s="55">
        <v>-18071.604013570002</v>
      </c>
      <c r="I5" s="55">
        <v>-18937.918916039998</v>
      </c>
    </row>
    <row r="6" spans="1:9">
      <c r="A6" t="s">
        <v>260</v>
      </c>
      <c r="B6" s="55">
        <v>-363.01165600000002</v>
      </c>
      <c r="C6" s="55">
        <v>0</v>
      </c>
      <c r="D6" s="55">
        <v>-2.004937599999991</v>
      </c>
      <c r="E6" s="55">
        <v>260.28736137000004</v>
      </c>
      <c r="F6" s="55">
        <v>104.52767598</v>
      </c>
      <c r="G6" s="55">
        <v>0.20155628</v>
      </c>
      <c r="H6" s="55">
        <v>0</v>
      </c>
      <c r="I6" s="55">
        <v>0</v>
      </c>
    </row>
    <row r="7" spans="1:9">
      <c r="A7" t="s">
        <v>261</v>
      </c>
      <c r="B7" s="55">
        <v>-20490.67604179</v>
      </c>
      <c r="C7" s="55">
        <v>-366.14563883</v>
      </c>
      <c r="D7" s="55">
        <v>-942.26959717</v>
      </c>
      <c r="E7" s="55">
        <v>-5845.49698601</v>
      </c>
      <c r="F7" s="55">
        <v>-102.43370585000002</v>
      </c>
      <c r="G7" s="55">
        <v>-684.00896680999961</v>
      </c>
      <c r="H7" s="55">
        <v>3501.9599214199998</v>
      </c>
      <c r="I7" s="55">
        <v>-4704.5349571500001</v>
      </c>
    </row>
    <row r="8" spans="1:9">
      <c r="A8" t="s">
        <v>262</v>
      </c>
      <c r="B8" s="55">
        <v>0</v>
      </c>
      <c r="C8" s="55">
        <v>0</v>
      </c>
      <c r="D8" s="55">
        <v>-4377</v>
      </c>
      <c r="E8" s="55">
        <v>-2772.4634468600002</v>
      </c>
      <c r="F8" s="55">
        <v>0</v>
      </c>
      <c r="G8" s="55">
        <v>1528.641621</v>
      </c>
      <c r="H8" s="55">
        <v>0</v>
      </c>
      <c r="I8" s="55">
        <v>0</v>
      </c>
    </row>
    <row r="9" spans="1:9">
      <c r="A9" s="56" t="s">
        <v>263</v>
      </c>
      <c r="B9" s="55">
        <v>0</v>
      </c>
      <c r="C9" s="55">
        <v>0</v>
      </c>
      <c r="D9" s="55">
        <v>0</v>
      </c>
      <c r="E9" s="55">
        <v>0</v>
      </c>
      <c r="F9" s="55">
        <v>-3160.135503</v>
      </c>
      <c r="G9" s="55">
        <v>-8624.4846290000005</v>
      </c>
      <c r="H9" s="55">
        <v>3262.1711061199999</v>
      </c>
      <c r="I9" s="55">
        <v>0</v>
      </c>
    </row>
    <row r="10" spans="1:9">
      <c r="A10" t="s">
        <v>264</v>
      </c>
      <c r="B10" s="55">
        <v>0</v>
      </c>
      <c r="C10" s="55">
        <v>0</v>
      </c>
      <c r="D10" s="55">
        <v>0</v>
      </c>
      <c r="E10" s="55">
        <v>-1043.111879</v>
      </c>
      <c r="F10" s="55">
        <v>14.901479</v>
      </c>
      <c r="G10" s="55">
        <v>-5.3323879999999999</v>
      </c>
      <c r="H10" s="55">
        <v>290.13381700000002</v>
      </c>
      <c r="I10" s="55">
        <v>-58.415087999999997</v>
      </c>
    </row>
    <row r="11" spans="1:9">
      <c r="A11" t="s">
        <v>265</v>
      </c>
      <c r="B11" s="55">
        <v>0</v>
      </c>
      <c r="C11" s="55">
        <v>-348.44368086000003</v>
      </c>
      <c r="D11" s="55">
        <v>10.668579059999997</v>
      </c>
      <c r="E11" s="55">
        <v>72.084794999999986</v>
      </c>
      <c r="F11" s="55">
        <v>-376.73310353000005</v>
      </c>
      <c r="G11" s="55">
        <v>-22.862078549999996</v>
      </c>
      <c r="H11" s="55">
        <v>-91.946723070000004</v>
      </c>
      <c r="I11" s="55">
        <v>110.45954419</v>
      </c>
    </row>
    <row r="12" spans="1:9">
      <c r="B12" s="55"/>
      <c r="C12" s="55"/>
      <c r="D12" s="55"/>
      <c r="E12" s="55"/>
      <c r="F12" s="55"/>
      <c r="G12" s="55"/>
      <c r="H12" s="55"/>
      <c r="I12" s="55"/>
    </row>
    <row r="13" spans="1:9">
      <c r="B13" s="55"/>
      <c r="C13" s="55"/>
      <c r="D13" s="55"/>
      <c r="E13" s="55"/>
      <c r="F13" s="55"/>
      <c r="G13" s="55"/>
      <c r="H13" s="55"/>
      <c r="I13" s="55"/>
    </row>
    <row r="14" spans="1:9">
      <c r="B14" s="51"/>
      <c r="C14" s="51"/>
      <c r="D14" s="51"/>
      <c r="E14" s="51"/>
      <c r="F14" s="51"/>
      <c r="G14" s="51"/>
      <c r="H14" s="51"/>
      <c r="I14" s="5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D50"/>
  <sheetViews>
    <sheetView showGridLines="0" topLeftCell="A20" zoomScale="90" zoomScaleNormal="90" workbookViewId="0">
      <selection activeCell="B38" sqref="B38"/>
    </sheetView>
  </sheetViews>
  <sheetFormatPr baseColWidth="10" defaultColWidth="11.42578125" defaultRowHeight="15.75"/>
  <cols>
    <col min="1" max="1" width="54.85546875" style="139" bestFit="1" customWidth="1"/>
    <col min="2" max="4" width="15" style="139" bestFit="1" customWidth="1"/>
  </cols>
  <sheetData>
    <row r="1" spans="1:4">
      <c r="A1" s="139" t="s">
        <v>49</v>
      </c>
    </row>
    <row r="2" spans="1:4">
      <c r="A2" s="140"/>
      <c r="B2" s="6">
        <v>2012</v>
      </c>
      <c r="C2" s="6">
        <v>2013</v>
      </c>
      <c r="D2" s="6">
        <v>2014</v>
      </c>
    </row>
    <row r="3" spans="1:4" ht="15">
      <c r="A3" s="4"/>
      <c r="B3" s="4"/>
      <c r="C3"/>
      <c r="D3"/>
    </row>
    <row r="4" spans="1:4">
      <c r="A4" s="144"/>
      <c r="B4" s="55"/>
      <c r="C4" s="55"/>
      <c r="D4" s="55"/>
    </row>
    <row r="5" spans="1:4">
      <c r="A5" s="24" t="s">
        <v>279</v>
      </c>
      <c r="B5" s="146">
        <v>1344272.084</v>
      </c>
      <c r="C5" s="146">
        <v>1361859.4950000001</v>
      </c>
      <c r="D5" s="146">
        <v>1364317.7620000001</v>
      </c>
    </row>
    <row r="6" spans="1:4">
      <c r="B6" s="55"/>
      <c r="C6" s="55"/>
      <c r="D6" s="55"/>
    </row>
    <row r="7" spans="1:4" s="158" customFormat="1">
      <c r="A7" s="156" t="s">
        <v>174</v>
      </c>
      <c r="B7" s="157">
        <v>962307.48800000001</v>
      </c>
      <c r="C7" s="157">
        <v>938403.73300000001</v>
      </c>
      <c r="D7" s="157">
        <v>939835.63399999996</v>
      </c>
    </row>
    <row r="8" spans="1:4" ht="15.6" customHeight="1">
      <c r="B8" s="145"/>
      <c r="C8" s="145"/>
      <c r="D8" s="145"/>
    </row>
    <row r="9" spans="1:4">
      <c r="A9" s="142" t="s">
        <v>280</v>
      </c>
      <c r="B9" s="143">
        <f t="shared" ref="B9:D9" si="0">+B5-B7</f>
        <v>381964.59600000002</v>
      </c>
      <c r="C9" s="143">
        <f t="shared" si="0"/>
        <v>423455.7620000001</v>
      </c>
      <c r="D9" s="143">
        <f t="shared" si="0"/>
        <v>424482.12800000014</v>
      </c>
    </row>
    <row r="10" spans="1:4" ht="15.6" customHeight="1">
      <c r="B10" s="145"/>
      <c r="C10" s="145"/>
      <c r="D10" s="145"/>
    </row>
    <row r="11" spans="1:4">
      <c r="A11" s="147" t="s">
        <v>175</v>
      </c>
      <c r="B11" s="145">
        <v>216372.12899999999</v>
      </c>
      <c r="C11" s="145">
        <v>279163.54100000003</v>
      </c>
      <c r="D11" s="145">
        <v>338389.76299999998</v>
      </c>
    </row>
    <row r="12" spans="1:4">
      <c r="A12" s="147"/>
      <c r="B12" s="145"/>
      <c r="C12" s="145"/>
      <c r="D12" s="145"/>
    </row>
    <row r="13" spans="1:4">
      <c r="A13" s="142" t="s">
        <v>281</v>
      </c>
      <c r="B13" s="143">
        <f t="shared" ref="B13:D13" si="1">+B9-B11</f>
        <v>165592.46700000003</v>
      </c>
      <c r="C13" s="143">
        <f t="shared" si="1"/>
        <v>144292.22100000008</v>
      </c>
      <c r="D13" s="143">
        <f t="shared" si="1"/>
        <v>86092.365000000165</v>
      </c>
    </row>
    <row r="14" spans="1:4">
      <c r="A14" s="159"/>
      <c r="B14" s="160"/>
      <c r="C14" s="160"/>
      <c r="D14" s="160"/>
    </row>
    <row r="15" spans="1:4" s="158" customFormat="1">
      <c r="A15" s="161" t="s">
        <v>282</v>
      </c>
      <c r="B15" s="162">
        <f>-124128.157</f>
        <v>-124128.15700000001</v>
      </c>
      <c r="C15" s="163">
        <v>-91049.771999999997</v>
      </c>
      <c r="D15" s="163">
        <v>-237128.78599999999</v>
      </c>
    </row>
    <row r="16" spans="1:4">
      <c r="A16" s="161" t="s">
        <v>283</v>
      </c>
      <c r="B16" s="164">
        <v>330553.49400000001</v>
      </c>
      <c r="C16" s="164">
        <f>66126.82</f>
        <v>66126.820000000007</v>
      </c>
      <c r="D16" s="164">
        <v>378559.18</v>
      </c>
    </row>
    <row r="17" spans="1:4" s="166" customFormat="1">
      <c r="A17" s="165" t="s">
        <v>284</v>
      </c>
      <c r="B17" s="164">
        <v>5.0990000000000002</v>
      </c>
      <c r="C17" s="164">
        <v>0</v>
      </c>
      <c r="D17" s="164">
        <v>0</v>
      </c>
    </row>
    <row r="18" spans="1:4" s="166" customFormat="1">
      <c r="A18" s="165"/>
      <c r="B18" s="164"/>
      <c r="C18" s="164"/>
      <c r="D18" s="164"/>
    </row>
    <row r="19" spans="1:4">
      <c r="A19" s="142" t="s">
        <v>285</v>
      </c>
      <c r="B19" s="143">
        <f t="shared" ref="B19:C19" si="2">+B13+B15+B16+B17</f>
        <v>372022.90299999999</v>
      </c>
      <c r="C19" s="143">
        <f t="shared" si="2"/>
        <v>119369.26900000009</v>
      </c>
      <c r="D19" s="143">
        <f>+D13+D15+D16+D17</f>
        <v>227522.75900000017</v>
      </c>
    </row>
    <row r="20" spans="1:4">
      <c r="A20" s="167"/>
      <c r="B20" s="152"/>
      <c r="C20" s="152"/>
      <c r="D20" s="152"/>
    </row>
    <row r="21" spans="1:4">
      <c r="A21" s="161" t="s">
        <v>286</v>
      </c>
      <c r="B21" s="152">
        <v>-2727.9720000000002</v>
      </c>
      <c r="C21" s="152"/>
      <c r="D21" s="152"/>
    </row>
    <row r="22" spans="1:4">
      <c r="A22" s="161" t="s">
        <v>287</v>
      </c>
      <c r="B22" s="145">
        <v>-106464.75900000001</v>
      </c>
      <c r="C22" s="145">
        <v>58572.108</v>
      </c>
      <c r="D22" s="145">
        <v>152295.96400000001</v>
      </c>
    </row>
    <row r="23" spans="1:4">
      <c r="A23" s="161" t="s">
        <v>288</v>
      </c>
      <c r="B23" s="145"/>
      <c r="C23" s="145">
        <v>-8823.4879999999994</v>
      </c>
      <c r="D23" s="145">
        <v>-9287.5349999999999</v>
      </c>
    </row>
    <row r="24" spans="1:4">
      <c r="A24" s="161"/>
      <c r="B24" s="145"/>
      <c r="C24" s="145"/>
      <c r="D24" s="145"/>
    </row>
    <row r="25" spans="1:4">
      <c r="A25" s="142" t="s">
        <v>289</v>
      </c>
      <c r="B25" s="143">
        <f t="shared" ref="B25" si="3">+B19+B21+B22</f>
        <v>262830.17199999996</v>
      </c>
      <c r="C25" s="143">
        <f>+C19+C21+C22+C23</f>
        <v>169117.88900000008</v>
      </c>
      <c r="D25" s="143">
        <f>+D19+D21+D22+D23</f>
        <v>370531.1880000002</v>
      </c>
    </row>
    <row r="26" spans="1:4">
      <c r="A26" s="161"/>
      <c r="B26" s="145"/>
      <c r="C26" s="145"/>
      <c r="D26" s="145"/>
    </row>
    <row r="27" spans="1:4">
      <c r="B27" s="152"/>
      <c r="C27" s="152"/>
      <c r="D27" s="152"/>
    </row>
    <row r="28" spans="1:4" ht="15.6" hidden="1" customHeight="1">
      <c r="A28" s="147"/>
      <c r="B28" s="152"/>
      <c r="C28" s="152"/>
      <c r="D28" s="152"/>
    </row>
    <row r="29" spans="1:4">
      <c r="B29" s="145"/>
      <c r="C29" s="145"/>
      <c r="D29" s="145"/>
    </row>
    <row r="30" spans="1:4">
      <c r="B30" s="145"/>
      <c r="C30" s="55"/>
      <c r="D30" s="55"/>
    </row>
    <row r="31" spans="1:4">
      <c r="B31" s="145"/>
      <c r="C31" s="55"/>
      <c r="D31" s="55"/>
    </row>
    <row r="32" spans="1:4">
      <c r="B32" s="145"/>
      <c r="C32" s="55"/>
      <c r="D32" s="55"/>
    </row>
    <row r="33" spans="2:4">
      <c r="B33" s="145"/>
      <c r="C33" s="55"/>
      <c r="D33" s="55"/>
    </row>
    <row r="34" spans="2:4">
      <c r="B34" s="145"/>
      <c r="C34" s="55"/>
      <c r="D34" s="55"/>
    </row>
    <row r="35" spans="2:4">
      <c r="B35" s="145"/>
      <c r="C35" s="55"/>
      <c r="D35" s="55"/>
    </row>
    <row r="36" spans="2:4">
      <c r="B36" s="145"/>
      <c r="C36" s="55"/>
      <c r="D36" s="55"/>
    </row>
    <row r="37" spans="2:4">
      <c r="B37" s="145"/>
      <c r="C37" s="55"/>
      <c r="D37" s="55"/>
    </row>
    <row r="38" spans="2:4">
      <c r="B38" s="145"/>
      <c r="C38" s="55"/>
      <c r="D38" s="55"/>
    </row>
    <row r="39" spans="2:4">
      <c r="B39" s="145"/>
      <c r="C39" s="55"/>
      <c r="D39" s="55"/>
    </row>
    <row r="40" spans="2:4">
      <c r="B40" s="145"/>
      <c r="C40" s="55"/>
      <c r="D40" s="55"/>
    </row>
    <row r="41" spans="2:4">
      <c r="B41" s="145"/>
      <c r="C41" s="55"/>
      <c r="D41" s="55"/>
    </row>
    <row r="42" spans="2:4">
      <c r="B42" s="145"/>
      <c r="C42" s="55"/>
      <c r="D42" s="55"/>
    </row>
    <row r="43" spans="2:4">
      <c r="B43" s="145"/>
      <c r="C43" s="55"/>
      <c r="D43" s="55"/>
    </row>
    <row r="44" spans="2:4">
      <c r="B44" s="145"/>
      <c r="C44" s="55"/>
      <c r="D44" s="55"/>
    </row>
    <row r="45" spans="2:4">
      <c r="B45" s="145"/>
      <c r="C45" s="55"/>
      <c r="D45" s="55"/>
    </row>
    <row r="46" spans="2:4">
      <c r="B46" s="145"/>
      <c r="C46" s="55"/>
      <c r="D46" s="55"/>
    </row>
    <row r="47" spans="2:4">
      <c r="B47" s="145"/>
      <c r="C47" s="55"/>
      <c r="D47" s="55"/>
    </row>
    <row r="48" spans="2:4">
      <c r="B48" s="145"/>
      <c r="C48" s="145"/>
      <c r="D48" s="145"/>
    </row>
    <row r="49" spans="2:4">
      <c r="B49" s="145"/>
      <c r="C49" s="145"/>
      <c r="D49" s="145"/>
    </row>
    <row r="50" spans="2:4">
      <c r="B50" s="145"/>
      <c r="C50" s="145"/>
      <c r="D50" s="14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K53"/>
  <sheetViews>
    <sheetView showGridLines="0" zoomScale="90" zoomScaleNormal="90" workbookViewId="0">
      <pane xSplit="1" ySplit="2" topLeftCell="E3" activePane="bottomRight" state="frozen"/>
      <selection activeCell="C19" sqref="C19"/>
      <selection pane="topRight" activeCell="C19" sqref="C19"/>
      <selection pane="bottomLeft" activeCell="C19" sqref="C19"/>
      <selection pane="bottomRight" activeCell="L19" sqref="L19"/>
    </sheetView>
  </sheetViews>
  <sheetFormatPr baseColWidth="10" defaultColWidth="11.42578125" defaultRowHeight="15.75"/>
  <cols>
    <col min="1" max="1" width="65.5703125" style="139" bestFit="1" customWidth="1"/>
    <col min="2" max="10" width="15" style="139" bestFit="1" customWidth="1"/>
    <col min="11" max="11" width="17.140625" style="139" customWidth="1"/>
  </cols>
  <sheetData>
    <row r="1" spans="1:11">
      <c r="A1" s="139" t="s">
        <v>49</v>
      </c>
    </row>
    <row r="2" spans="1:11">
      <c r="A2" s="140"/>
      <c r="B2" s="6">
        <v>2015</v>
      </c>
      <c r="C2" s="6">
        <v>2016</v>
      </c>
      <c r="D2" s="6">
        <v>2017</v>
      </c>
      <c r="E2" s="6">
        <v>2018</v>
      </c>
      <c r="F2" s="6">
        <v>2019</v>
      </c>
      <c r="G2" s="6">
        <v>2020</v>
      </c>
      <c r="H2" s="6">
        <v>2021</v>
      </c>
      <c r="I2" s="6">
        <v>2022</v>
      </c>
      <c r="J2" s="6">
        <v>2023</v>
      </c>
      <c r="K2" s="6" t="s">
        <v>290</v>
      </c>
    </row>
    <row r="3" spans="1:11" ht="15">
      <c r="A3" s="4"/>
      <c r="B3" s="4"/>
      <c r="C3" s="141"/>
      <c r="D3" s="141"/>
      <c r="E3" s="4"/>
      <c r="F3" s="4"/>
      <c r="G3" s="4"/>
      <c r="H3" s="141"/>
      <c r="I3" s="141"/>
      <c r="J3" s="141"/>
      <c r="K3" s="141"/>
    </row>
    <row r="4" spans="1:11">
      <c r="A4" s="142" t="s">
        <v>69</v>
      </c>
      <c r="B4" s="143">
        <f t="shared" ref="B4:K4" si="0">+B6+B8</f>
        <v>1460006</v>
      </c>
      <c r="C4" s="143">
        <f t="shared" si="0"/>
        <v>1458532.5995353698</v>
      </c>
      <c r="D4" s="143">
        <f t="shared" si="0"/>
        <v>1458716.5320309903</v>
      </c>
      <c r="E4" s="143">
        <f t="shared" si="0"/>
        <v>1466110.5436387635</v>
      </c>
      <c r="F4" s="143">
        <f t="shared" si="0"/>
        <v>1525826.8433890697</v>
      </c>
      <c r="G4" s="143">
        <f t="shared" si="0"/>
        <v>1379155.622658063</v>
      </c>
      <c r="H4" s="143">
        <f t="shared" si="0"/>
        <v>1396045.9039063004</v>
      </c>
      <c r="I4" s="143">
        <f t="shared" si="0"/>
        <v>1516632.4667568752</v>
      </c>
      <c r="J4" s="143">
        <f t="shared" si="0"/>
        <v>1552733.0021406703</v>
      </c>
      <c r="K4" s="143">
        <f t="shared" si="0"/>
        <v>1218242</v>
      </c>
    </row>
    <row r="5" spans="1:11">
      <c r="A5" s="144"/>
      <c r="B5" s="55"/>
      <c r="C5" s="145"/>
      <c r="D5" s="145"/>
      <c r="E5" s="145"/>
      <c r="F5" s="145"/>
      <c r="G5" s="145"/>
      <c r="H5" s="145"/>
      <c r="I5" s="145"/>
      <c r="J5" s="145"/>
      <c r="K5" s="145"/>
    </row>
    <row r="6" spans="1:11">
      <c r="A6" s="24" t="s">
        <v>224</v>
      </c>
      <c r="B6" s="146">
        <v>1388219</v>
      </c>
      <c r="C6" s="146">
        <v>1413439.7468803597</v>
      </c>
      <c r="D6" s="146">
        <v>1423523.9772276203</v>
      </c>
      <c r="E6" s="146">
        <v>1375299.3247297134</v>
      </c>
      <c r="F6" s="146">
        <v>1438488.8433890697</v>
      </c>
      <c r="G6" s="146">
        <v>1338288.4837362729</v>
      </c>
      <c r="H6" s="146">
        <v>1350702.3954093903</v>
      </c>
      <c r="I6" s="146">
        <v>1353644.8805193652</v>
      </c>
      <c r="J6" s="146">
        <v>1499868.7014882504</v>
      </c>
      <c r="K6" s="146">
        <v>1083230</v>
      </c>
    </row>
    <row r="7" spans="1:11">
      <c r="A7" s="147"/>
      <c r="B7" s="55"/>
      <c r="C7" s="148"/>
      <c r="D7" s="148"/>
      <c r="E7" s="148"/>
      <c r="F7" s="148"/>
      <c r="G7" s="148"/>
      <c r="H7" s="148"/>
      <c r="I7" s="148"/>
      <c r="J7" s="148"/>
      <c r="K7" s="148"/>
    </row>
    <row r="8" spans="1:11">
      <c r="A8" s="24" t="s">
        <v>269</v>
      </c>
      <c r="B8" s="146">
        <v>71787</v>
      </c>
      <c r="C8" s="146">
        <v>45092.85265501</v>
      </c>
      <c r="D8" s="146">
        <v>35192.554803369996</v>
      </c>
      <c r="E8" s="146">
        <v>90811.218909050003</v>
      </c>
      <c r="F8" s="146">
        <v>87338</v>
      </c>
      <c r="G8" s="146">
        <v>40867.13892179</v>
      </c>
      <c r="H8" s="146">
        <f>43654.49901091+1689.009486</f>
        <v>45343.508496910006</v>
      </c>
      <c r="I8" s="146">
        <v>162987.58623751</v>
      </c>
      <c r="J8" s="146">
        <v>52864.300652420003</v>
      </c>
      <c r="K8" s="146">
        <v>135012</v>
      </c>
    </row>
    <row r="9" spans="1:11">
      <c r="B9" s="55"/>
      <c r="C9" s="145"/>
      <c r="D9" s="145"/>
      <c r="E9" s="145"/>
      <c r="F9" s="145"/>
      <c r="G9" s="145"/>
      <c r="H9" s="145"/>
      <c r="I9" s="145"/>
      <c r="J9" s="145"/>
      <c r="K9" s="145"/>
    </row>
    <row r="10" spans="1:11">
      <c r="A10" s="142" t="s">
        <v>270</v>
      </c>
      <c r="B10" s="143">
        <v>1057480.7349999999</v>
      </c>
      <c r="C10" s="143">
        <v>1033744.5097061303</v>
      </c>
      <c r="D10" s="143">
        <v>928400.723</v>
      </c>
      <c r="E10" s="143">
        <v>917400.4369999998</v>
      </c>
      <c r="F10" s="143">
        <v>993869.94000000018</v>
      </c>
      <c r="G10" s="143">
        <v>935307.18499999982</v>
      </c>
      <c r="H10" s="143">
        <v>962716.09600000014</v>
      </c>
      <c r="I10" s="143">
        <v>1024381.4329999998</v>
      </c>
      <c r="J10" s="143">
        <v>1198426.6260000002</v>
      </c>
      <c r="K10" s="143">
        <v>890959</v>
      </c>
    </row>
    <row r="11" spans="1:11">
      <c r="B11" s="145"/>
      <c r="C11" s="145"/>
      <c r="D11" s="145"/>
      <c r="E11" s="145"/>
      <c r="F11" s="145"/>
      <c r="G11" s="145"/>
      <c r="H11" s="145"/>
      <c r="I11" s="145"/>
      <c r="J11" s="145"/>
      <c r="K11" s="145"/>
    </row>
    <row r="12" spans="1:11">
      <c r="A12" s="142" t="s">
        <v>271</v>
      </c>
      <c r="B12" s="143">
        <f t="shared" ref="B12:K12" si="1">+B4-B10</f>
        <v>402525.26500000013</v>
      </c>
      <c r="C12" s="143">
        <f t="shared" si="1"/>
        <v>424788.08982923953</v>
      </c>
      <c r="D12" s="143">
        <f t="shared" si="1"/>
        <v>530315.80903099035</v>
      </c>
      <c r="E12" s="143">
        <f t="shared" si="1"/>
        <v>548710.10663876368</v>
      </c>
      <c r="F12" s="143">
        <f t="shared" si="1"/>
        <v>531956.90338906948</v>
      </c>
      <c r="G12" s="143">
        <f t="shared" si="1"/>
        <v>443848.43765806314</v>
      </c>
      <c r="H12" s="143">
        <f t="shared" si="1"/>
        <v>433329.8079063003</v>
      </c>
      <c r="I12" s="143">
        <f t="shared" si="1"/>
        <v>492251.03375687532</v>
      </c>
      <c r="J12" s="143">
        <f t="shared" si="1"/>
        <v>354306.37614067015</v>
      </c>
      <c r="K12" s="143">
        <f t="shared" si="1"/>
        <v>327283</v>
      </c>
    </row>
    <row r="13" spans="1:11">
      <c r="A13" s="149"/>
      <c r="B13" s="150"/>
      <c r="C13" s="150"/>
      <c r="D13" s="150"/>
      <c r="E13" s="150"/>
      <c r="F13" s="150"/>
      <c r="G13" s="150"/>
      <c r="H13" s="150"/>
      <c r="I13" s="150"/>
      <c r="J13" s="150"/>
      <c r="K13" s="150"/>
    </row>
    <row r="14" spans="1:11">
      <c r="A14" s="151" t="s">
        <v>272</v>
      </c>
      <c r="B14" s="152">
        <v>424014.45300025004</v>
      </c>
      <c r="C14" s="152">
        <v>541957.94413449999</v>
      </c>
      <c r="D14" s="152">
        <v>558809.55900000001</v>
      </c>
      <c r="E14" s="152">
        <v>549346.5</v>
      </c>
      <c r="F14" s="152">
        <v>417695.28100000002</v>
      </c>
      <c r="G14" s="152">
        <v>379990.16700000002</v>
      </c>
      <c r="H14" s="152">
        <v>350489.85100000002</v>
      </c>
      <c r="I14" s="152">
        <v>316678.41700000002</v>
      </c>
      <c r="J14" s="152">
        <v>331198.326</v>
      </c>
      <c r="K14" s="152">
        <v>256817</v>
      </c>
    </row>
    <row r="15" spans="1:11">
      <c r="A15" s="151" t="s">
        <v>273</v>
      </c>
      <c r="B15" s="152"/>
      <c r="C15" s="152"/>
      <c r="D15" s="152"/>
      <c r="E15" s="152">
        <v>-132962.99900000001</v>
      </c>
      <c r="F15" s="152">
        <v>589.81299999999999</v>
      </c>
      <c r="G15" s="152">
        <v>11862.666999999999</v>
      </c>
      <c r="H15" s="152">
        <v>-71389.027000000002</v>
      </c>
      <c r="I15" s="152">
        <v>1690.76</v>
      </c>
      <c r="J15" s="152">
        <v>306.28300000000002</v>
      </c>
      <c r="K15" s="152">
        <v>91612</v>
      </c>
    </row>
    <row r="16" spans="1:11">
      <c r="A16" s="151" t="s">
        <v>274</v>
      </c>
      <c r="B16" s="152">
        <v>230950.04340739999</v>
      </c>
      <c r="C16" s="152">
        <v>98506.503095680004</v>
      </c>
      <c r="D16" s="152">
        <v>151935</v>
      </c>
      <c r="E16" s="152">
        <v>36953.224000000002</v>
      </c>
      <c r="F16" s="152">
        <v>31272.598999999998</v>
      </c>
      <c r="G16" s="152">
        <v>32229.478999999999</v>
      </c>
      <c r="H16" s="152">
        <v>11109.286</v>
      </c>
      <c r="I16" s="152">
        <v>23590.41</v>
      </c>
      <c r="J16" s="152">
        <v>5408.018</v>
      </c>
      <c r="K16" s="152">
        <v>26365</v>
      </c>
    </row>
    <row r="17" spans="1:11">
      <c r="B17" s="145"/>
      <c r="C17" s="145"/>
      <c r="D17" s="145"/>
      <c r="E17" s="145"/>
      <c r="F17" s="145"/>
      <c r="G17" s="145"/>
      <c r="H17" s="145"/>
      <c r="I17" s="145"/>
      <c r="J17" s="145"/>
      <c r="K17" s="145"/>
    </row>
    <row r="18" spans="1:11">
      <c r="A18" s="153" t="s">
        <v>275</v>
      </c>
      <c r="B18" s="154">
        <f>+B12-B14-B16</f>
        <v>-252439.2314076499</v>
      </c>
      <c r="C18" s="154">
        <f>+C12-C14-C16</f>
        <v>-215676.35740094047</v>
      </c>
      <c r="D18" s="154">
        <f>+D12-D14-D16</f>
        <v>-180428.74996900966</v>
      </c>
      <c r="E18" s="154">
        <f t="shared" ref="E18:K18" si="2">+E12-E14-E16-E15</f>
        <v>95373.381638763691</v>
      </c>
      <c r="F18" s="154">
        <f t="shared" si="2"/>
        <v>82399.210389069471</v>
      </c>
      <c r="G18" s="154">
        <f t="shared" si="2"/>
        <v>19766.12465806312</v>
      </c>
      <c r="H18" s="154">
        <f t="shared" si="2"/>
        <v>143119.69790630028</v>
      </c>
      <c r="I18" s="154">
        <f t="shared" si="2"/>
        <v>150291.44675687529</v>
      </c>
      <c r="J18" s="154">
        <f t="shared" si="2"/>
        <v>17393.749140670152</v>
      </c>
      <c r="K18" s="154">
        <f t="shared" si="2"/>
        <v>-47511</v>
      </c>
    </row>
    <row r="19" spans="1:11">
      <c r="B19" s="145"/>
      <c r="C19" s="145"/>
      <c r="D19" s="145"/>
      <c r="E19" s="145"/>
      <c r="F19" s="145"/>
      <c r="G19" s="145"/>
      <c r="H19" s="145"/>
      <c r="I19" s="145"/>
      <c r="J19" s="145"/>
      <c r="K19" s="145"/>
    </row>
    <row r="20" spans="1:11">
      <c r="A20" s="147" t="s">
        <v>276</v>
      </c>
      <c r="B20" s="152">
        <f>-47073</f>
        <v>-47073</v>
      </c>
      <c r="C20" s="152">
        <v>-66772</v>
      </c>
      <c r="D20" s="152">
        <v>-56783.853000000003</v>
      </c>
      <c r="E20" s="152">
        <v>1356.636</v>
      </c>
      <c r="F20" s="152">
        <v>1661.665</v>
      </c>
      <c r="G20" s="152">
        <v>-51790.307999999997</v>
      </c>
      <c r="H20" s="152">
        <v>-67377.043999999994</v>
      </c>
      <c r="I20" s="152">
        <v>-99389.65</v>
      </c>
      <c r="J20" s="152">
        <v>-128844.039</v>
      </c>
      <c r="K20" s="152">
        <v>-125793</v>
      </c>
    </row>
    <row r="21" spans="1:11">
      <c r="A21" s="147" t="s">
        <v>277</v>
      </c>
      <c r="B21" s="152">
        <v>12327.130499639999</v>
      </c>
      <c r="C21" s="152">
        <v>3672.8158070300001</v>
      </c>
      <c r="D21" s="152">
        <v>985.95</v>
      </c>
      <c r="E21" s="152">
        <v>-4253</v>
      </c>
      <c r="F21" s="152">
        <v>1142.394</v>
      </c>
      <c r="G21" s="152">
        <v>-2850.683</v>
      </c>
      <c r="H21" s="152">
        <v>6836.98</v>
      </c>
      <c r="I21" s="152">
        <v>-692.74800000000005</v>
      </c>
      <c r="J21" s="152">
        <v>11230.851000000001</v>
      </c>
      <c r="K21" s="152">
        <v>-1367</v>
      </c>
    </row>
    <row r="22" spans="1:11">
      <c r="A22" s="147" t="s">
        <v>278</v>
      </c>
      <c r="B22" s="152">
        <v>9915.1796107400005</v>
      </c>
      <c r="C22" s="152">
        <v>1452.43063811</v>
      </c>
      <c r="D22" s="152">
        <v>-1181.2650000000001</v>
      </c>
      <c r="E22" s="152">
        <v>-1560</v>
      </c>
      <c r="F22" s="152">
        <v>1328.854</v>
      </c>
      <c r="G22" s="152">
        <v>-1630.2860000000001</v>
      </c>
      <c r="H22" s="152">
        <v>-2136.2460000000001</v>
      </c>
      <c r="I22" s="152">
        <v>572.95299999999997</v>
      </c>
      <c r="J22" s="152">
        <v>-6440.1779999999999</v>
      </c>
      <c r="K22" s="152">
        <v>-5452</v>
      </c>
    </row>
    <row r="23" spans="1:11">
      <c r="B23" s="145"/>
      <c r="C23" s="145"/>
      <c r="D23" s="145"/>
      <c r="E23" s="145"/>
      <c r="F23" s="145"/>
      <c r="G23" s="145"/>
      <c r="H23" s="145"/>
      <c r="I23" s="145"/>
      <c r="J23" s="145"/>
      <c r="K23" s="145"/>
    </row>
    <row r="24" spans="1:11">
      <c r="A24" s="153" t="s">
        <v>151</v>
      </c>
      <c r="B24" s="154">
        <f t="shared" ref="B24:K24" si="3">SUM(B18:B22)</f>
        <v>-277269.92129726993</v>
      </c>
      <c r="C24" s="154">
        <f t="shared" si="3"/>
        <v>-277323.11095580051</v>
      </c>
      <c r="D24" s="154">
        <f t="shared" si="3"/>
        <v>-237407.91796900966</v>
      </c>
      <c r="E24" s="154">
        <f t="shared" si="3"/>
        <v>90917.017638763689</v>
      </c>
      <c r="F24" s="154">
        <f t="shared" si="3"/>
        <v>86532.123389069471</v>
      </c>
      <c r="G24" s="154">
        <f t="shared" si="3"/>
        <v>-36505.152341936875</v>
      </c>
      <c r="H24" s="154">
        <f t="shared" si="3"/>
        <v>80443.387906300282</v>
      </c>
      <c r="I24" s="154">
        <f t="shared" si="3"/>
        <v>50782.001756875296</v>
      </c>
      <c r="J24" s="154">
        <f t="shared" si="3"/>
        <v>-106659.61685932985</v>
      </c>
      <c r="K24" s="154">
        <f t="shared" si="3"/>
        <v>-180123</v>
      </c>
    </row>
    <row r="25" spans="1:11">
      <c r="B25" s="145"/>
      <c r="C25" s="145"/>
      <c r="D25" s="145"/>
      <c r="E25" s="145"/>
      <c r="F25" s="145"/>
      <c r="G25" s="145"/>
      <c r="H25" s="145"/>
      <c r="I25" s="145"/>
      <c r="J25" s="145"/>
      <c r="K25" s="145"/>
    </row>
    <row r="26" spans="1:11">
      <c r="A26" s="147" t="s">
        <v>152</v>
      </c>
      <c r="B26" s="152">
        <f>-222440+13830-1</f>
        <v>-208611</v>
      </c>
      <c r="C26" s="152">
        <v>51059.85949789</v>
      </c>
      <c r="D26" s="152">
        <v>87429.990770019998</v>
      </c>
      <c r="E26" s="152">
        <v>-90179.740655000001</v>
      </c>
      <c r="F26" s="152">
        <v>-7547.5736160200004</v>
      </c>
      <c r="G26" s="152">
        <v>-1832.4112500000001</v>
      </c>
      <c r="H26" s="152">
        <v>58261.061532689899</v>
      </c>
      <c r="I26" s="152">
        <v>-1688.6322274500001</v>
      </c>
      <c r="J26" s="152">
        <v>69453.879093070005</v>
      </c>
      <c r="K26" s="152">
        <v>53451</v>
      </c>
    </row>
    <row r="27" spans="1:11">
      <c r="A27" s="5"/>
      <c r="B27" s="145"/>
      <c r="C27" s="145"/>
      <c r="D27" s="145"/>
      <c r="E27" s="145"/>
      <c r="F27" s="145"/>
      <c r="G27" s="145"/>
      <c r="H27" s="145"/>
      <c r="I27" s="145"/>
      <c r="J27" s="145"/>
      <c r="K27" s="145"/>
    </row>
    <row r="28" spans="1:11">
      <c r="A28" s="153" t="s">
        <v>156</v>
      </c>
      <c r="B28" s="154">
        <f>+B24-B26</f>
        <v>-68658.921297269932</v>
      </c>
      <c r="C28" s="154">
        <f t="shared" ref="C28:K28" si="4">+C24+C26</f>
        <v>-226263.25145791052</v>
      </c>
      <c r="D28" s="154">
        <f t="shared" si="4"/>
        <v>-149977.92719898967</v>
      </c>
      <c r="E28" s="154">
        <f t="shared" si="4"/>
        <v>737.27698376368789</v>
      </c>
      <c r="F28" s="154">
        <f t="shared" si="4"/>
        <v>78984.549773049468</v>
      </c>
      <c r="G28" s="154">
        <f t="shared" si="4"/>
        <v>-38337.563591936872</v>
      </c>
      <c r="H28" s="154">
        <f t="shared" si="4"/>
        <v>138704.44943899018</v>
      </c>
      <c r="I28" s="154">
        <f t="shared" si="4"/>
        <v>49093.369529425298</v>
      </c>
      <c r="J28" s="154">
        <f t="shared" si="4"/>
        <v>-37205.737766259845</v>
      </c>
      <c r="K28" s="154">
        <f t="shared" si="4"/>
        <v>-126672</v>
      </c>
    </row>
    <row r="29" spans="1:11">
      <c r="A29" s="144"/>
      <c r="B29" s="155"/>
      <c r="C29" s="155"/>
      <c r="D29" s="155"/>
      <c r="E29" s="155"/>
      <c r="F29" s="155"/>
      <c r="G29" s="155"/>
      <c r="H29" s="155"/>
      <c r="I29" s="155"/>
      <c r="J29" s="155"/>
      <c r="K29" s="155"/>
    </row>
    <row r="30" spans="1:11">
      <c r="A30" s="147" t="s">
        <v>157</v>
      </c>
      <c r="B30" s="152">
        <v>32121</v>
      </c>
      <c r="C30" s="152">
        <v>-28422</v>
      </c>
      <c r="D30" s="152">
        <v>20412.059159909997</v>
      </c>
      <c r="E30" s="152">
        <v>40953.461311999999</v>
      </c>
      <c r="F30" s="152">
        <v>42715.360831999998</v>
      </c>
      <c r="G30" s="152">
        <v>-1266.5534280000002</v>
      </c>
      <c r="H30" s="145">
        <v>30484.871023200001</v>
      </c>
      <c r="I30" s="145">
        <v>5539.375340999999</v>
      </c>
      <c r="J30" s="145">
        <v>-8070.816374</v>
      </c>
      <c r="K30" s="145">
        <v>2055</v>
      </c>
    </row>
    <row r="31" spans="1:11">
      <c r="A31" s="144"/>
      <c r="B31" s="155"/>
      <c r="C31" s="155"/>
      <c r="D31" s="155"/>
      <c r="E31" s="155"/>
      <c r="F31" s="155"/>
      <c r="G31" s="155"/>
      <c r="H31" s="155"/>
      <c r="I31" s="155"/>
      <c r="J31" s="155"/>
      <c r="K31" s="155"/>
    </row>
    <row r="32" spans="1:11">
      <c r="A32" s="142" t="s">
        <v>158</v>
      </c>
      <c r="B32" s="143">
        <f t="shared" ref="B32:J32" si="5">+B28+B30</f>
        <v>-36537.921297269932</v>
      </c>
      <c r="C32" s="143">
        <f>+C28+C30</f>
        <v>-254685.25145791052</v>
      </c>
      <c r="D32" s="143">
        <f t="shared" si="5"/>
        <v>-129565.86803907967</v>
      </c>
      <c r="E32" s="143">
        <f t="shared" si="5"/>
        <v>41690.738295763687</v>
      </c>
      <c r="F32" s="143">
        <f t="shared" si="5"/>
        <v>121699.91060504946</v>
      </c>
      <c r="G32" s="143">
        <f t="shared" si="5"/>
        <v>-39604.117019936872</v>
      </c>
      <c r="H32" s="143">
        <f t="shared" si="5"/>
        <v>169189.3204621902</v>
      </c>
      <c r="I32" s="143">
        <f t="shared" si="5"/>
        <v>54632.744870425297</v>
      </c>
      <c r="J32" s="143">
        <f t="shared" si="5"/>
        <v>-45276.554140259846</v>
      </c>
      <c r="K32" s="143">
        <f>+K28+K30</f>
        <v>-124617</v>
      </c>
    </row>
    <row r="33" spans="2:11">
      <c r="B33" s="145"/>
      <c r="C33" s="145"/>
      <c r="D33" s="145"/>
      <c r="E33" s="145"/>
      <c r="F33" s="55"/>
      <c r="G33" s="145"/>
      <c r="H33" s="145"/>
      <c r="I33" s="145"/>
      <c r="J33" s="145"/>
      <c r="K33" s="145"/>
    </row>
    <row r="34" spans="2:11">
      <c r="B34" s="145"/>
      <c r="C34" s="145"/>
      <c r="D34" s="145"/>
      <c r="E34" s="145"/>
      <c r="F34" s="55"/>
      <c r="G34" s="145"/>
      <c r="H34" s="145"/>
      <c r="I34" s="145"/>
      <c r="J34" s="145"/>
      <c r="K34" s="145"/>
    </row>
    <row r="35" spans="2:11">
      <c r="B35" s="145"/>
      <c r="C35" s="145"/>
      <c r="D35" s="145"/>
      <c r="E35" s="145"/>
      <c r="F35" s="55"/>
      <c r="G35" s="145"/>
      <c r="H35" s="145"/>
      <c r="I35" s="145"/>
      <c r="J35" s="145"/>
      <c r="K35" s="145"/>
    </row>
    <row r="36" spans="2:11">
      <c r="B36" s="145"/>
      <c r="C36" s="145"/>
      <c r="D36" s="145"/>
      <c r="E36" s="145"/>
      <c r="F36" s="55"/>
      <c r="G36" s="145"/>
      <c r="H36" s="145"/>
      <c r="I36" s="145"/>
      <c r="J36" s="145"/>
      <c r="K36" s="145"/>
    </row>
    <row r="37" spans="2:11">
      <c r="B37" s="145"/>
      <c r="C37" s="145"/>
      <c r="D37" s="145"/>
      <c r="E37" s="145"/>
      <c r="F37" s="55"/>
      <c r="G37" s="145"/>
      <c r="H37" s="145"/>
      <c r="I37" s="145"/>
      <c r="J37" s="145"/>
      <c r="K37" s="145"/>
    </row>
    <row r="38" spans="2:11">
      <c r="B38" s="145"/>
      <c r="C38" s="145"/>
      <c r="D38" s="145"/>
      <c r="E38" s="145"/>
      <c r="F38" s="55"/>
      <c r="G38" s="145"/>
      <c r="H38" s="145"/>
      <c r="I38" s="145"/>
      <c r="J38" s="145"/>
      <c r="K38" s="145"/>
    </row>
    <row r="39" spans="2:11">
      <c r="B39" s="145"/>
      <c r="C39" s="145"/>
      <c r="D39" s="145"/>
      <c r="E39" s="145"/>
      <c r="F39" s="55"/>
      <c r="G39" s="145"/>
      <c r="H39" s="145"/>
      <c r="I39" s="145"/>
      <c r="J39" s="145"/>
      <c r="K39" s="145"/>
    </row>
    <row r="40" spans="2:11">
      <c r="B40" s="145"/>
      <c r="C40" s="145"/>
      <c r="D40" s="145"/>
      <c r="E40" s="145"/>
      <c r="F40" s="55"/>
      <c r="G40" s="145"/>
      <c r="H40" s="145"/>
      <c r="I40" s="145"/>
      <c r="J40" s="145"/>
      <c r="K40" s="145"/>
    </row>
    <row r="41" spans="2:11">
      <c r="B41" s="145"/>
      <c r="C41" s="145"/>
      <c r="D41" s="145"/>
      <c r="E41" s="145"/>
      <c r="F41" s="55"/>
      <c r="G41" s="145"/>
      <c r="H41" s="145"/>
      <c r="I41" s="145"/>
      <c r="J41" s="145"/>
      <c r="K41" s="145"/>
    </row>
    <row r="42" spans="2:11">
      <c r="B42" s="145"/>
      <c r="C42" s="145"/>
      <c r="D42" s="145"/>
      <c r="E42" s="145"/>
      <c r="F42" s="55"/>
      <c r="G42" s="145"/>
      <c r="H42" s="145"/>
      <c r="I42" s="145"/>
      <c r="J42" s="145"/>
      <c r="K42" s="145"/>
    </row>
    <row r="43" spans="2:11">
      <c r="B43" s="145"/>
      <c r="C43" s="145"/>
      <c r="D43" s="145"/>
      <c r="E43" s="145"/>
      <c r="F43" s="55"/>
      <c r="G43" s="145"/>
      <c r="H43" s="145"/>
      <c r="I43" s="145"/>
      <c r="J43" s="145"/>
      <c r="K43" s="145"/>
    </row>
    <row r="44" spans="2:11">
      <c r="B44" s="145"/>
      <c r="C44" s="145"/>
      <c r="D44" s="145"/>
      <c r="E44" s="145"/>
      <c r="F44" s="55"/>
      <c r="G44" s="145"/>
      <c r="H44" s="145"/>
      <c r="I44" s="145"/>
      <c r="J44" s="145"/>
      <c r="K44" s="145"/>
    </row>
    <row r="45" spans="2:11">
      <c r="B45" s="145"/>
      <c r="C45" s="145"/>
      <c r="D45" s="145"/>
      <c r="E45" s="145"/>
      <c r="F45" s="55"/>
      <c r="G45" s="145"/>
      <c r="H45" s="145"/>
      <c r="I45" s="145"/>
      <c r="J45" s="145"/>
      <c r="K45" s="145"/>
    </row>
    <row r="46" spans="2:11">
      <c r="B46" s="145"/>
      <c r="C46" s="145"/>
      <c r="D46" s="145"/>
      <c r="E46" s="145"/>
      <c r="F46" s="55"/>
      <c r="G46" s="145"/>
      <c r="H46" s="145"/>
      <c r="I46" s="145"/>
      <c r="J46" s="145"/>
      <c r="K46" s="145"/>
    </row>
    <row r="47" spans="2:11">
      <c r="B47" s="145"/>
      <c r="C47" s="145"/>
      <c r="D47" s="145"/>
      <c r="E47" s="145"/>
      <c r="F47" s="55"/>
      <c r="G47" s="145"/>
      <c r="H47" s="145"/>
      <c r="I47" s="145"/>
      <c r="J47" s="145"/>
      <c r="K47" s="145"/>
    </row>
    <row r="48" spans="2:11">
      <c r="B48" s="145"/>
      <c r="C48" s="145"/>
      <c r="D48" s="145"/>
      <c r="E48" s="145"/>
      <c r="F48" s="55"/>
      <c r="G48" s="145"/>
      <c r="H48" s="145"/>
      <c r="I48" s="145"/>
      <c r="J48" s="145"/>
      <c r="K48" s="145"/>
    </row>
    <row r="49" spans="2:11">
      <c r="B49" s="145"/>
      <c r="C49" s="145"/>
      <c r="D49" s="145"/>
      <c r="E49" s="145"/>
      <c r="F49" s="55"/>
      <c r="G49" s="145"/>
      <c r="H49" s="145"/>
      <c r="I49" s="145"/>
      <c r="J49" s="145"/>
      <c r="K49" s="145"/>
    </row>
    <row r="50" spans="2:11">
      <c r="B50" s="145"/>
      <c r="C50" s="145"/>
      <c r="D50" s="145"/>
      <c r="E50" s="145"/>
      <c r="F50" s="55"/>
      <c r="G50" s="145"/>
      <c r="H50" s="145"/>
      <c r="I50" s="145"/>
      <c r="J50" s="145"/>
      <c r="K50" s="145"/>
    </row>
    <row r="51" spans="2:11">
      <c r="B51" s="145"/>
      <c r="C51" s="145"/>
      <c r="D51" s="145"/>
      <c r="E51" s="145"/>
      <c r="F51" s="55"/>
      <c r="G51" s="145"/>
      <c r="H51" s="145"/>
      <c r="I51" s="145"/>
      <c r="J51" s="145"/>
      <c r="K51" s="145"/>
    </row>
    <row r="52" spans="2:11">
      <c r="B52" s="145"/>
      <c r="C52" s="145"/>
      <c r="D52" s="145"/>
      <c r="E52" s="145"/>
      <c r="F52" s="55"/>
      <c r="G52" s="145"/>
      <c r="H52" s="145"/>
      <c r="I52" s="145"/>
      <c r="J52" s="145"/>
      <c r="K52" s="145"/>
    </row>
    <row r="53" spans="2:11">
      <c r="B53" s="145"/>
      <c r="C53" s="145"/>
      <c r="D53" s="145"/>
      <c r="E53" s="145"/>
      <c r="F53" s="145"/>
      <c r="G53" s="145"/>
      <c r="H53" s="145"/>
      <c r="I53" s="145"/>
      <c r="J53" s="145"/>
      <c r="K53" s="14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ESF MENSUALIZADO </vt:lpstr>
      <vt:lpstr>ESF ANUAL</vt:lpstr>
      <vt:lpstr>PATRIMONIO</vt:lpstr>
      <vt:lpstr>PyG mensualizado</vt:lpstr>
      <vt:lpstr>Ingresos</vt:lpstr>
      <vt:lpstr>Costos y Gastos</vt:lpstr>
      <vt:lpstr>DETALLE DETERIORO</vt:lpstr>
      <vt:lpstr>PYG COLGAAP 2003-2014</vt:lpstr>
      <vt:lpstr>PYG NIIF 2015-SEP2024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ALBA MARINA ROMERO MENDOZA</dc:creator>
  <cp:keywords/>
  <dc:description/>
  <cp:lastModifiedBy>MORRISON TARQUINO DAZA</cp:lastModifiedBy>
  <cp:revision/>
  <dcterms:created xsi:type="dcterms:W3CDTF">2021-09-14T16:33:28Z</dcterms:created>
  <dcterms:modified xsi:type="dcterms:W3CDTF">2025-02-05T15:02:54Z</dcterms:modified>
  <cp:category/>
  <cp:contentStatus/>
</cp:coreProperties>
</file>